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120" windowWidth="15180" windowHeight="8520"/>
  </bookViews>
  <sheets>
    <sheet name="Учёт ставок" sheetId="1" r:id="rId1"/>
    <sheet name="Статистика" sheetId="2" r:id="rId2"/>
    <sheet name="кэфы" sheetId="3" r:id="rId3"/>
  </sheets>
  <definedNames>
    <definedName name="_23_мар_13">'Учёт ставок'!$B$43:$B$48</definedName>
    <definedName name="_xlnm._FilterDatabase" localSheetId="0" hidden="1">'Учёт ставок'!$A$3:$L$280</definedName>
  </definedNames>
  <calcPr calcId="124519"/>
</workbook>
</file>

<file path=xl/calcChain.xml><?xml version="1.0" encoding="utf-8"?>
<calcChain xmlns="http://schemas.openxmlformats.org/spreadsheetml/2006/main">
  <c r="K14" i="2"/>
  <c r="J14"/>
  <c r="I14"/>
  <c r="H14"/>
  <c r="K4" l="1"/>
  <c r="J4"/>
  <c r="I4"/>
  <c r="H4"/>
  <c r="K24"/>
  <c r="J24"/>
  <c r="I24"/>
  <c r="H24"/>
  <c r="L4" l="1"/>
  <c r="L24"/>
  <c r="K5" l="1"/>
  <c r="J5"/>
  <c r="I5"/>
  <c r="H5"/>
  <c r="K15" l="1"/>
  <c r="J15"/>
  <c r="I15"/>
  <c r="H15"/>
  <c r="L15" l="1"/>
  <c r="K19"/>
  <c r="J19"/>
  <c r="I19"/>
  <c r="H19"/>
  <c r="L19" l="1"/>
  <c r="N12"/>
  <c r="Q12"/>
  <c r="R12"/>
  <c r="T12"/>
  <c r="S14" l="1"/>
  <c r="O12"/>
  <c r="P14" l="1"/>
  <c r="K22"/>
  <c r="J22"/>
  <c r="I22"/>
  <c r="H22"/>
  <c r="K18"/>
  <c r="J18"/>
  <c r="I18"/>
  <c r="K3"/>
  <c r="J3"/>
  <c r="I3"/>
  <c r="K17"/>
  <c r="K8"/>
  <c r="J17"/>
  <c r="I17"/>
  <c r="H17"/>
  <c r="J8"/>
  <c r="I8"/>
  <c r="H8"/>
  <c r="K16"/>
  <c r="J16"/>
  <c r="I16"/>
  <c r="H16"/>
  <c r="K21"/>
  <c r="J21"/>
  <c r="I21"/>
  <c r="J12"/>
  <c r="K12"/>
  <c r="K7"/>
  <c r="I12"/>
  <c r="H12"/>
  <c r="K11"/>
  <c r="J11"/>
  <c r="I11"/>
  <c r="H11"/>
  <c r="J7"/>
  <c r="I7"/>
  <c r="H7"/>
  <c r="H3"/>
  <c r="K25"/>
  <c r="J25"/>
  <c r="I25"/>
  <c r="H25"/>
  <c r="K23"/>
  <c r="J23"/>
  <c r="I23"/>
  <c r="H23"/>
  <c r="H21"/>
  <c r="K29"/>
  <c r="J29"/>
  <c r="I29"/>
  <c r="H29"/>
  <c r="K27"/>
  <c r="J27"/>
  <c r="I27"/>
  <c r="H27"/>
  <c r="K26"/>
  <c r="J26"/>
  <c r="I26"/>
  <c r="H26"/>
  <c r="K13"/>
  <c r="J13"/>
  <c r="I13"/>
  <c r="H13"/>
  <c r="H18"/>
  <c r="K20"/>
  <c r="J20"/>
  <c r="I20"/>
  <c r="H20"/>
  <c r="K9"/>
  <c r="K6"/>
  <c r="K28"/>
  <c r="K10"/>
  <c r="J10"/>
  <c r="I10"/>
  <c r="H10"/>
  <c r="J28"/>
  <c r="I28"/>
  <c r="H28"/>
  <c r="H6"/>
  <c r="J6"/>
  <c r="I6"/>
  <c r="J9"/>
  <c r="I9"/>
  <c r="H9"/>
  <c r="L6" l="1"/>
  <c r="L9"/>
  <c r="L3"/>
  <c r="L14"/>
  <c r="L8"/>
  <c r="L16"/>
  <c r="L18"/>
  <c r="L11"/>
  <c r="L29"/>
  <c r="L17"/>
  <c r="L22"/>
  <c r="L23"/>
  <c r="L12"/>
  <c r="L13"/>
  <c r="L20"/>
  <c r="L21"/>
  <c r="L26"/>
  <c r="L27"/>
  <c r="L25"/>
  <c r="L28"/>
  <c r="L7"/>
  <c r="L10"/>
  <c r="L5"/>
  <c r="L32" l="1"/>
  <c r="L51" i="1" l="1"/>
  <c r="L7" l="1"/>
  <c r="E16" i="2" l="1"/>
  <c r="E17"/>
  <c r="E15"/>
  <c r="E13"/>
  <c r="E12"/>
  <c r="E5"/>
  <c r="E4"/>
  <c r="E3"/>
  <c r="B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"/>
  <c r="E11"/>
  <c r="L280" i="1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6"/>
  <c r="L5"/>
  <c r="L4"/>
  <c r="M206" l="1"/>
  <c r="M205"/>
  <c r="M202"/>
  <c r="M204"/>
  <c r="M201"/>
  <c r="M203"/>
  <c r="M200"/>
  <c r="M197"/>
  <c r="M198"/>
  <c r="M199"/>
  <c r="M195"/>
  <c r="M196"/>
  <c r="M192"/>
  <c r="M193"/>
  <c r="M194"/>
  <c r="M189"/>
  <c r="M191"/>
  <c r="M190"/>
  <c r="M185"/>
  <c r="M181"/>
  <c r="M182"/>
  <c r="M187"/>
  <c r="M179"/>
  <c r="M188"/>
  <c r="M180"/>
  <c r="M186"/>
  <c r="M183"/>
  <c r="M184"/>
  <c r="M178"/>
  <c r="M177"/>
  <c r="M176"/>
  <c r="M175"/>
  <c r="M173"/>
  <c r="M172"/>
  <c r="M174"/>
  <c r="M170"/>
  <c r="M171"/>
  <c r="M169"/>
  <c r="M168"/>
  <c r="M167"/>
  <c r="M166"/>
  <c r="M165"/>
  <c r="M163"/>
  <c r="M164"/>
  <c r="M162"/>
  <c r="M161"/>
  <c r="M157"/>
  <c r="M155"/>
  <c r="M158"/>
  <c r="M160"/>
  <c r="M156"/>
  <c r="M154"/>
  <c r="M159"/>
  <c r="M153"/>
  <c r="M152"/>
  <c r="M150"/>
  <c r="M146"/>
  <c r="M145"/>
  <c r="M148"/>
  <c r="M147"/>
  <c r="M143"/>
  <c r="M149"/>
  <c r="M144"/>
  <c r="M142"/>
  <c r="M138"/>
  <c r="M141"/>
  <c r="M137"/>
  <c r="M140"/>
  <c r="M136"/>
  <c r="M139"/>
  <c r="M132"/>
  <c r="M128"/>
  <c r="M133"/>
  <c r="M135"/>
  <c r="M131"/>
  <c r="M127"/>
  <c r="M134"/>
  <c r="M129"/>
  <c r="M130"/>
  <c r="M126"/>
  <c r="M125"/>
  <c r="M124"/>
  <c r="M123"/>
  <c r="M122"/>
  <c r="M120"/>
  <c r="M119"/>
  <c r="M115"/>
  <c r="M118"/>
  <c r="M114"/>
  <c r="M117"/>
  <c r="M113"/>
  <c r="M116"/>
  <c r="M112"/>
  <c r="M151"/>
  <c r="M121"/>
  <c r="M111"/>
  <c r="M110"/>
  <c r="M106"/>
  <c r="M105"/>
  <c r="M107"/>
  <c r="M109"/>
  <c r="M108"/>
  <c r="M104"/>
  <c r="M103"/>
  <c r="M102"/>
  <c r="M101"/>
  <c r="M100"/>
  <c r="M99"/>
  <c r="M98"/>
  <c r="M95"/>
  <c r="M97"/>
  <c r="M96"/>
  <c r="M93"/>
  <c r="M92"/>
  <c r="M91"/>
  <c r="M87"/>
  <c r="M86"/>
  <c r="M90"/>
  <c r="M88"/>
  <c r="M89"/>
  <c r="M82"/>
  <c r="M78"/>
  <c r="M85"/>
  <c r="M84"/>
  <c r="M79"/>
  <c r="M81"/>
  <c r="M80"/>
  <c r="M83"/>
  <c r="M76"/>
  <c r="M72"/>
  <c r="M75"/>
  <c r="M71"/>
  <c r="M74"/>
  <c r="M70"/>
  <c r="M73"/>
  <c r="M69"/>
  <c r="M68"/>
  <c r="M64"/>
  <c r="M60"/>
  <c r="M56"/>
  <c r="M67"/>
  <c r="M59"/>
  <c r="M66"/>
  <c r="M58"/>
  <c r="M63"/>
  <c r="M65"/>
  <c r="M61"/>
  <c r="M57"/>
  <c r="M62"/>
  <c r="M46"/>
  <c r="M42"/>
  <c r="M43"/>
  <c r="M45"/>
  <c r="M44"/>
  <c r="M38"/>
  <c r="M37"/>
  <c r="M33"/>
  <c r="M29"/>
  <c r="M31"/>
  <c r="M36"/>
  <c r="M32"/>
  <c r="M35"/>
  <c r="M30"/>
  <c r="M34"/>
  <c r="M28"/>
  <c r="M26"/>
  <c r="M27"/>
  <c r="M25"/>
  <c r="M22"/>
  <c r="M18"/>
  <c r="M14"/>
  <c r="M10"/>
  <c r="M6"/>
  <c r="M20"/>
  <c r="M16"/>
  <c r="M12"/>
  <c r="M5"/>
  <c r="M21"/>
  <c r="M17"/>
  <c r="M13"/>
  <c r="M9"/>
  <c r="M8"/>
  <c r="M19"/>
  <c r="M15"/>
  <c r="M11"/>
  <c r="M7"/>
  <c r="M4"/>
  <c r="M94"/>
  <c r="M77"/>
  <c r="L281"/>
  <c r="M55"/>
  <c r="M54"/>
  <c r="M53"/>
  <c r="M52"/>
  <c r="M51"/>
  <c r="M50"/>
  <c r="M48"/>
  <c r="M49"/>
  <c r="M47"/>
  <c r="M41"/>
  <c r="M40"/>
  <c r="M39"/>
  <c r="M24"/>
  <c r="M23"/>
  <c r="H1"/>
  <c r="L1" s="1"/>
  <c r="E8" i="2"/>
  <c r="E7"/>
  <c r="E9" l="1"/>
</calcChain>
</file>

<file path=xl/sharedStrings.xml><?xml version="1.0" encoding="utf-8"?>
<sst xmlns="http://schemas.openxmlformats.org/spreadsheetml/2006/main" count="1385" uniqueCount="473">
  <si>
    <t>Дата</t>
  </si>
  <si>
    <t>Вид ставки</t>
  </si>
  <si>
    <t>Вид спорта</t>
  </si>
  <si>
    <t>№пп</t>
  </si>
  <si>
    <t>Коэф</t>
  </si>
  <si>
    <t>Сумма ставки</t>
  </si>
  <si>
    <t>Текущий банк:</t>
  </si>
  <si>
    <t>Начальный банк:</t>
  </si>
  <si>
    <t>Сумма к выплате</t>
  </si>
  <si>
    <t>Балланс</t>
  </si>
  <si>
    <t>Футбол</t>
  </si>
  <si>
    <t>Теннис</t>
  </si>
  <si>
    <t>Хоккей</t>
  </si>
  <si>
    <t>Средняя сумма ставки:</t>
  </si>
  <si>
    <t>Средний коэффициент:</t>
  </si>
  <si>
    <t>Всего ставок:</t>
  </si>
  <si>
    <t>Балланс:</t>
  </si>
  <si>
    <t>Из них ставок на:</t>
  </si>
  <si>
    <t>Баскетбол</t>
  </si>
  <si>
    <t>Волейбол</t>
  </si>
  <si>
    <t>Бейсбол</t>
  </si>
  <si>
    <t>Регби</t>
  </si>
  <si>
    <t>Американский футбол</t>
  </si>
  <si>
    <t>Биатлон</t>
  </si>
  <si>
    <t>Бильярд</t>
  </si>
  <si>
    <t>Бокс</t>
  </si>
  <si>
    <t>Велоспорт</t>
  </si>
  <si>
    <t>Водное поло</t>
  </si>
  <si>
    <t>Гандбол</t>
  </si>
  <si>
    <t>Гольф</t>
  </si>
  <si>
    <t>Горные лыжи</t>
  </si>
  <si>
    <t>Конькобежный спорт</t>
  </si>
  <si>
    <t>Легкая атлетика</t>
  </si>
  <si>
    <t>Лотереи</t>
  </si>
  <si>
    <t>Лыжи</t>
  </si>
  <si>
    <t>Мотогонки</t>
  </si>
  <si>
    <t>Прыжки с трамплина</t>
  </si>
  <si>
    <t>Тяжелая атлетика</t>
  </si>
  <si>
    <t>Формула-1</t>
  </si>
  <si>
    <t>Футзал</t>
  </si>
  <si>
    <t>Хоккей на траве</t>
  </si>
  <si>
    <t>Хоккей с мячом</t>
  </si>
  <si>
    <t>Шахматы</t>
  </si>
  <si>
    <t>Проигранных</t>
  </si>
  <si>
    <t>Выигранных</t>
  </si>
  <si>
    <t>Возвратов</t>
  </si>
  <si>
    <t>Экспрессов</t>
  </si>
  <si>
    <t>Ординаров</t>
  </si>
  <si>
    <t>Систем</t>
  </si>
  <si>
    <t>Максиммальная сумма ставки:</t>
  </si>
  <si>
    <t>Минимальная сумма ставки:</t>
  </si>
  <si>
    <t>Максиммальный коэффициент:</t>
  </si>
  <si>
    <t>Минимальный коэффициент:</t>
  </si>
  <si>
    <t>Турнир</t>
  </si>
  <si>
    <t>Советы по пользованию таблицей:</t>
  </si>
  <si>
    <t>1. Используйте фильтры. Например, хотите просмотреть только ординары, выберите "Ординар" в списке "Вид ставки". Если Вы хотите посмотреть выигранные ставки, выберите "Условие" в списке "Балланс", затем укажите "больше" "1". Чтобы вернуться обратно ко всему списку ставок, выберите "все" в тех столбцах, в которых вы использовали фильтрацию!</t>
  </si>
  <si>
    <t>2. Для распечатки, выделите участок, которых вы желаете распечатать, нажмите "Печать…" затем выберите "Выделенный фрагмент" и "ок"</t>
  </si>
  <si>
    <t>Команда 1</t>
  </si>
  <si>
    <t>Команда 2</t>
  </si>
  <si>
    <t>Бельгия-1</t>
  </si>
  <si>
    <t>Зюльте-Варегем</t>
  </si>
  <si>
    <t>Брюгге</t>
  </si>
  <si>
    <t>ТБ(4,5)</t>
  </si>
  <si>
    <t>Германия-1</t>
  </si>
  <si>
    <t>Боруссия(М)</t>
  </si>
  <si>
    <t>Вердер</t>
  </si>
  <si>
    <t>Италия-1</t>
  </si>
  <si>
    <t>Удинезе</t>
  </si>
  <si>
    <t>Рома</t>
  </si>
  <si>
    <t>Голландия-1</t>
  </si>
  <si>
    <t>Эраклес</t>
  </si>
  <si>
    <t>НЭК</t>
  </si>
  <si>
    <t>Португалия-1</t>
  </si>
  <si>
    <t>Брага</t>
  </si>
  <si>
    <t>Маритиму</t>
  </si>
  <si>
    <t>Уэльс-1</t>
  </si>
  <si>
    <t>Аберт.Таун</t>
  </si>
  <si>
    <t>Аван Лида</t>
  </si>
  <si>
    <t>Партик</t>
  </si>
  <si>
    <t>Дамбартон</t>
  </si>
  <si>
    <t>Шотландия-2</t>
  </si>
  <si>
    <t>Шотландия-3</t>
  </si>
  <si>
    <t>Брихин</t>
  </si>
  <si>
    <t>Форфар</t>
  </si>
  <si>
    <t>Ист Файф</t>
  </si>
  <si>
    <t>Арброт</t>
  </si>
  <si>
    <t>счет</t>
  </si>
  <si>
    <t>1-2</t>
  </si>
  <si>
    <t>Шотландия-4</t>
  </si>
  <si>
    <t>1-1</t>
  </si>
  <si>
    <t>1-0</t>
  </si>
  <si>
    <t>2-0</t>
  </si>
  <si>
    <t>4-3</t>
  </si>
  <si>
    <t>3-0</t>
  </si>
  <si>
    <t>0-1</t>
  </si>
  <si>
    <t>Странрар</t>
  </si>
  <si>
    <t>Альбион</t>
  </si>
  <si>
    <t>3-2</t>
  </si>
  <si>
    <t>ТМ(1,5)</t>
  </si>
  <si>
    <t>Болгария-1</t>
  </si>
  <si>
    <t>ЦСКА</t>
  </si>
  <si>
    <t>Черно Море</t>
  </si>
  <si>
    <t>Берое</t>
  </si>
  <si>
    <t>Лудогорец</t>
  </si>
  <si>
    <t>Германия-2</t>
  </si>
  <si>
    <t>Герта</t>
  </si>
  <si>
    <t>Дуйсбург</t>
  </si>
  <si>
    <t>Греция-1</t>
  </si>
  <si>
    <t>АЭК</t>
  </si>
  <si>
    <t>Олимпиакос</t>
  </si>
  <si>
    <t>Дания-1</t>
  </si>
  <si>
    <t>Копенгаген</t>
  </si>
  <si>
    <t>Силкеборг</t>
  </si>
  <si>
    <t>Португалия-2</t>
  </si>
  <si>
    <t>Тонелла</t>
  </si>
  <si>
    <t>Фейренсе</t>
  </si>
  <si>
    <t>ТБ(3,5)</t>
  </si>
  <si>
    <t>Спортинг Б</t>
  </si>
  <si>
    <t>Санта Клара</t>
  </si>
  <si>
    <t>0-0</t>
  </si>
  <si>
    <t>4-2</t>
  </si>
  <si>
    <t>3-1</t>
  </si>
  <si>
    <t>1-3</t>
  </si>
  <si>
    <t>Сетубал</t>
  </si>
  <si>
    <t>Гимарайнш</t>
  </si>
  <si>
    <t>Турция-1</t>
  </si>
  <si>
    <t>Ордуспор</t>
  </si>
  <si>
    <t>Газиантспор</t>
  </si>
  <si>
    <t>ТБ(2,5)</t>
  </si>
  <si>
    <t>Бервик</t>
  </si>
  <si>
    <t>Куинз Парк</t>
  </si>
  <si>
    <t>Англия-3</t>
  </si>
  <si>
    <t>Дагенем</t>
  </si>
  <si>
    <t>Торки</t>
  </si>
  <si>
    <t>Йорк</t>
  </si>
  <si>
    <t>Рочдейл</t>
  </si>
  <si>
    <t>2-3</t>
  </si>
  <si>
    <t>возврат</t>
  </si>
  <si>
    <t>2-2</t>
  </si>
  <si>
    <t>Уолсол</t>
  </si>
  <si>
    <t>Транмер</t>
  </si>
  <si>
    <t>Англия-2</t>
  </si>
  <si>
    <t>Голландия-2</t>
  </si>
  <si>
    <t>Камбюр</t>
  </si>
  <si>
    <t>Хелмонд</t>
  </si>
  <si>
    <t>Черноморец Бургас</t>
  </si>
  <si>
    <t>Ботев Пл</t>
  </si>
  <si>
    <t>Жиль Висенте</t>
  </si>
  <si>
    <t>Англия-1</t>
  </si>
  <si>
    <t>Суонси</t>
  </si>
  <si>
    <t>Арсенал</t>
  </si>
  <si>
    <t>П1</t>
  </si>
  <si>
    <t xml:space="preserve">Дагенем </t>
  </si>
  <si>
    <t>Сев.Ирландия</t>
  </si>
  <si>
    <t>Портадаун</t>
  </si>
  <si>
    <t>Баллимена</t>
  </si>
  <si>
    <t>Лланели</t>
  </si>
  <si>
    <t>Аберистут</t>
  </si>
  <si>
    <t>Аннан</t>
  </si>
  <si>
    <t>Клайд</t>
  </si>
  <si>
    <t>Куинг оф Саун</t>
  </si>
  <si>
    <t>Стэнхаузер</t>
  </si>
  <si>
    <t>Мортон</t>
  </si>
  <si>
    <t>0-2</t>
  </si>
  <si>
    <t>Бертон</t>
  </si>
  <si>
    <t>3-3</t>
  </si>
  <si>
    <t>0-3</t>
  </si>
  <si>
    <t>Швейцария-2</t>
  </si>
  <si>
    <t>Беллинцона</t>
  </si>
  <si>
    <t>Виль</t>
  </si>
  <si>
    <t>Эшторил</t>
  </si>
  <si>
    <t>Академика</t>
  </si>
  <si>
    <t>Италия-2</t>
  </si>
  <si>
    <t>Асколи</t>
  </si>
  <si>
    <t>Реджина</t>
  </si>
  <si>
    <t>Варезе</t>
  </si>
  <si>
    <t>Новара</t>
  </si>
  <si>
    <t>Гленавон</t>
  </si>
  <si>
    <t>Колрейн</t>
  </si>
  <si>
    <t>Турция-2</t>
  </si>
  <si>
    <t>Эрджиспор</t>
  </si>
  <si>
    <t>Ризерспор</t>
  </si>
  <si>
    <t>ТМ(2,5)</t>
  </si>
  <si>
    <t>Ньютаун</t>
  </si>
  <si>
    <t>Балла Таун</t>
  </si>
  <si>
    <t>Престатин</t>
  </si>
  <si>
    <t>Бангор</t>
  </si>
  <si>
    <t>Эйр</t>
  </si>
  <si>
    <t>Бельгия-2</t>
  </si>
  <si>
    <t>Брюссель</t>
  </si>
  <si>
    <t>Тьюбиц</t>
  </si>
  <si>
    <t>Порт Талбот</t>
  </si>
  <si>
    <t>ТНС</t>
  </si>
  <si>
    <t>Ливорно</t>
  </si>
  <si>
    <t>Ланчано</t>
  </si>
  <si>
    <t>2-1</t>
  </si>
  <si>
    <t>0-6</t>
  </si>
  <si>
    <t>ТБ(3.5)</t>
  </si>
  <si>
    <t>Кр.Пэлес</t>
  </si>
  <si>
    <t>Бирмингем</t>
  </si>
  <si>
    <t>Англия-4</t>
  </si>
  <si>
    <t>Нортхейм</t>
  </si>
  <si>
    <t>Торкай</t>
  </si>
  <si>
    <t>Эйрбас</t>
  </si>
  <si>
    <t>0-4</t>
  </si>
  <si>
    <t>4-1</t>
  </si>
  <si>
    <t>Рэдинг</t>
  </si>
  <si>
    <t>Тоттенхем</t>
  </si>
  <si>
    <t>ТМ(1.5)</t>
  </si>
  <si>
    <t>Палермо</t>
  </si>
  <si>
    <t>Славия</t>
  </si>
  <si>
    <t>Болуспор</t>
  </si>
  <si>
    <t>Каршияка</t>
  </si>
  <si>
    <t>Нью-Таун</t>
  </si>
  <si>
    <t>ТБ(4.5)</t>
  </si>
  <si>
    <t>Банор</t>
  </si>
  <si>
    <t>Талбот</t>
  </si>
  <si>
    <t>П2</t>
  </si>
  <si>
    <t>Испания-1</t>
  </si>
  <si>
    <t>Атлетик</t>
  </si>
  <si>
    <t>Гранада</t>
  </si>
  <si>
    <t>Бетис</t>
  </si>
  <si>
    <t>Хетафе</t>
  </si>
  <si>
    <t>2-4</t>
  </si>
  <si>
    <t>Бейра Мар</t>
  </si>
  <si>
    <t>Ольяненси</t>
  </si>
  <si>
    <t>Стенхаузмур</t>
  </si>
  <si>
    <t>Хоффенхайм</t>
  </si>
  <si>
    <t>Фортуна</t>
  </si>
  <si>
    <t>Франция-1</t>
  </si>
  <si>
    <t>Марсель</t>
  </si>
  <si>
    <t>Бордо</t>
  </si>
  <si>
    <t>Австрия-2</t>
  </si>
  <si>
    <t>Альтах</t>
  </si>
  <si>
    <t>Хартберг</t>
  </si>
  <si>
    <t>Ирландия</t>
  </si>
  <si>
    <t>Шемрок</t>
  </si>
  <si>
    <t>Дроэда</t>
  </si>
  <si>
    <t>Осс</t>
  </si>
  <si>
    <t>Вест Бромвич</t>
  </si>
  <si>
    <t>Россия-1</t>
  </si>
  <si>
    <t>Ростов</t>
  </si>
  <si>
    <t>Спартак</t>
  </si>
  <si>
    <t>Локомотив</t>
  </si>
  <si>
    <t>Терек</t>
  </si>
  <si>
    <t>Бастия</t>
  </si>
  <si>
    <t>Брест</t>
  </si>
  <si>
    <t>Тулуза</t>
  </si>
  <si>
    <t>Ницца</t>
  </si>
  <si>
    <t>Ботев Вр</t>
  </si>
  <si>
    <t>Кармартен</t>
  </si>
  <si>
    <t>Монтроз</t>
  </si>
  <si>
    <t>Файф</t>
  </si>
  <si>
    <t>4-0</t>
  </si>
  <si>
    <t>3-4</t>
  </si>
  <si>
    <t>Осасуна</t>
  </si>
  <si>
    <t>Эспаньол</t>
  </si>
  <si>
    <t>Атлетико</t>
  </si>
  <si>
    <t>Х2</t>
  </si>
  <si>
    <t>Зенит</t>
  </si>
  <si>
    <t>Крылья Советов</t>
  </si>
  <si>
    <t>Лилль</t>
  </si>
  <si>
    <t>Лорьян</t>
  </si>
  <si>
    <t>Сент-Этьен</t>
  </si>
  <si>
    <t>Эвиан</t>
  </si>
  <si>
    <t>Ольборг</t>
  </si>
  <si>
    <t>Утрехт</t>
  </si>
  <si>
    <t>Ден Хааг</t>
  </si>
  <si>
    <t>5-0</t>
  </si>
  <si>
    <t>Севилья</t>
  </si>
  <si>
    <t>Россия-2</t>
  </si>
  <si>
    <t>Енисей</t>
  </si>
  <si>
    <t>Томь</t>
  </si>
  <si>
    <t>коэфф.</t>
  </si>
  <si>
    <t>2,1</t>
  </si>
  <si>
    <t>4,8</t>
  </si>
  <si>
    <t>2,2</t>
  </si>
  <si>
    <t>4,6</t>
  </si>
  <si>
    <t>2,3</t>
  </si>
  <si>
    <t>4,4</t>
  </si>
  <si>
    <t>2,5</t>
  </si>
  <si>
    <t>4,1</t>
  </si>
  <si>
    <t>2,7</t>
  </si>
  <si>
    <t>3,8</t>
  </si>
  <si>
    <t>3</t>
  </si>
  <si>
    <t>3,5</t>
  </si>
  <si>
    <t>3,2</t>
  </si>
  <si>
    <t>3,4</t>
  </si>
  <si>
    <t>3,15</t>
  </si>
  <si>
    <t>4</t>
  </si>
  <si>
    <t>2,9</t>
  </si>
  <si>
    <t>4,3</t>
  </si>
  <si>
    <t>2,76</t>
  </si>
  <si>
    <t>2,64</t>
  </si>
  <si>
    <t>2,6</t>
  </si>
  <si>
    <t>5</t>
  </si>
  <si>
    <t>5,3</t>
  </si>
  <si>
    <t>2,4</t>
  </si>
  <si>
    <t>5,7</t>
  </si>
  <si>
    <t>6</t>
  </si>
  <si>
    <t>2,24</t>
  </si>
  <si>
    <t>6,5</t>
  </si>
  <si>
    <t>2,13</t>
  </si>
  <si>
    <t>7</t>
  </si>
  <si>
    <t>2</t>
  </si>
  <si>
    <t>7,5</t>
  </si>
  <si>
    <t>1,96</t>
  </si>
  <si>
    <t>8</t>
  </si>
  <si>
    <t>1,9</t>
  </si>
  <si>
    <t>9</t>
  </si>
  <si>
    <t>10</t>
  </si>
  <si>
    <t>1,77</t>
  </si>
  <si>
    <t>1,66</t>
  </si>
  <si>
    <t>Выигрыш</t>
  </si>
  <si>
    <t>Проигрыш</t>
  </si>
  <si>
    <t>Ср.коефф</t>
  </si>
  <si>
    <t>кол-во</t>
  </si>
  <si>
    <t>Баланс</t>
  </si>
  <si>
    <t>К.Парк</t>
  </si>
  <si>
    <t>Дома</t>
  </si>
  <si>
    <t>Гости</t>
  </si>
  <si>
    <t>Больше</t>
  </si>
  <si>
    <t>Меньше</t>
  </si>
  <si>
    <t>Всего домашняя</t>
  </si>
  <si>
    <t>Всего гостевая</t>
  </si>
  <si>
    <t>Домашняя</t>
  </si>
  <si>
    <t>Гостевая</t>
  </si>
  <si>
    <t>Волендам</t>
  </si>
  <si>
    <t>Маастрихт</t>
  </si>
  <si>
    <t>Дордрехт</t>
  </si>
  <si>
    <t>Спарта</t>
  </si>
  <si>
    <t>2-5</t>
  </si>
  <si>
    <t>Чехия-1</t>
  </si>
  <si>
    <t>Дукла</t>
  </si>
  <si>
    <t>Яблонец</t>
  </si>
  <si>
    <t>Хорватия-1</t>
  </si>
  <si>
    <t>Славен</t>
  </si>
  <si>
    <t>Афан Лидо</t>
  </si>
  <si>
    <t>Клифтонвил</t>
  </si>
  <si>
    <t>Линфилд</t>
  </si>
  <si>
    <t>5-1</t>
  </si>
  <si>
    <t>Амкар</t>
  </si>
  <si>
    <t>Рубин</t>
  </si>
  <si>
    <t>Австрия-1</t>
  </si>
  <si>
    <t>Штурм</t>
  </si>
  <si>
    <t>Аустрия</t>
  </si>
  <si>
    <t>Торино</t>
  </si>
  <si>
    <t>Кальяри</t>
  </si>
  <si>
    <t>Интер</t>
  </si>
  <si>
    <t>Брондбю</t>
  </si>
  <si>
    <t>Сендерийске</t>
  </si>
  <si>
    <t>Оденсе</t>
  </si>
  <si>
    <t>Дания-2</t>
  </si>
  <si>
    <t>Фредересия</t>
  </si>
  <si>
    <t>Скиве</t>
  </si>
  <si>
    <t>Нордселланд</t>
  </si>
  <si>
    <t>Конна Квей</t>
  </si>
  <si>
    <t>АБ</t>
  </si>
  <si>
    <t>Вестселланд</t>
  </si>
  <si>
    <t>Бенфика Б</t>
  </si>
  <si>
    <t>Навал</t>
  </si>
  <si>
    <t>Аллоа</t>
  </si>
  <si>
    <t>Эйрдри</t>
  </si>
  <si>
    <t>Кьяссо</t>
  </si>
  <si>
    <t>Винтертур</t>
  </si>
  <si>
    <t>Клифтонвилл</t>
  </si>
  <si>
    <t>Виллем-II</t>
  </si>
  <si>
    <t>Рода</t>
  </si>
  <si>
    <t>ПСВ</t>
  </si>
  <si>
    <t>АЗ</t>
  </si>
  <si>
    <t>Черноморец</t>
  </si>
  <si>
    <t>Норвегия-1</t>
  </si>
  <si>
    <t>Олесунд</t>
  </si>
  <si>
    <t>Тромсе</t>
  </si>
  <si>
    <t>Сапспорт</t>
  </si>
  <si>
    <t>Сондаль</t>
  </si>
  <si>
    <t>Хогесунд</t>
  </si>
  <si>
    <t>Русенборг</t>
  </si>
  <si>
    <t>Националь</t>
  </si>
  <si>
    <t>Фреамунде</t>
  </si>
  <si>
    <t>Санта-Клара</t>
  </si>
  <si>
    <t>Антальяспор</t>
  </si>
  <si>
    <t>Бурсаспор</t>
  </si>
  <si>
    <t>Новегия-1</t>
  </si>
  <si>
    <t>Крусейдерс</t>
  </si>
  <si>
    <t>Хобро</t>
  </si>
  <si>
    <t>Бронсхей</t>
  </si>
  <si>
    <t>Задар</t>
  </si>
  <si>
    <t>Донегал</t>
  </si>
  <si>
    <t>Мидтюланд</t>
  </si>
  <si>
    <t>Данфермлайн</t>
  </si>
  <si>
    <t>Тондела</t>
  </si>
  <si>
    <t>Рид</t>
  </si>
  <si>
    <t>Маттерсбург</t>
  </si>
  <si>
    <t>ТБ(2.5)</t>
  </si>
  <si>
    <t>Исландия</t>
  </si>
  <si>
    <t>Вестманьяер</t>
  </si>
  <si>
    <t>Брейдаблик</t>
  </si>
  <si>
    <t>Тор</t>
  </si>
  <si>
    <t>Хафнафьордоф</t>
  </si>
  <si>
    <t>Насиональ</t>
  </si>
  <si>
    <t>Нойштад</t>
  </si>
  <si>
    <t>Зальцбург</t>
  </si>
  <si>
    <t>Ваккер</t>
  </si>
  <si>
    <t>Швеция-1</t>
  </si>
  <si>
    <t>АИК</t>
  </si>
  <si>
    <t>Юргорден</t>
  </si>
  <si>
    <t>Швеция-2</t>
  </si>
  <si>
    <t>Варберг</t>
  </si>
  <si>
    <t>Эргрюте</t>
  </si>
  <si>
    <t>Норвегия-2</t>
  </si>
  <si>
    <t>Эстерсунд</t>
  </si>
  <si>
    <t>Энхельхом</t>
  </si>
  <si>
    <t>Старт</t>
  </si>
  <si>
    <t>Норчепинг</t>
  </si>
  <si>
    <t>Брно</t>
  </si>
  <si>
    <t>Словацко</t>
  </si>
  <si>
    <t>Фалькенберг</t>
  </si>
  <si>
    <t>Юнгскилле</t>
  </si>
  <si>
    <t>Боде Глимт</t>
  </si>
  <si>
    <t>Стабек</t>
  </si>
  <si>
    <t>Консвигер</t>
  </si>
  <si>
    <t>Фалло</t>
  </si>
  <si>
    <t>Исландия-1</t>
  </si>
  <si>
    <t>Фолкирк</t>
  </si>
  <si>
    <t>Эльфсборг</t>
  </si>
  <si>
    <t>Эфле</t>
  </si>
  <si>
    <t>1-4</t>
  </si>
  <si>
    <t>Браге</t>
  </si>
  <si>
    <t>Фолло</t>
  </si>
  <si>
    <t>Ранхайм</t>
  </si>
  <si>
    <t>Нью Таун</t>
  </si>
  <si>
    <t>Бангор сити</t>
  </si>
  <si>
    <t>Рил</t>
  </si>
  <si>
    <t>Андра</t>
  </si>
  <si>
    <t>Исландия-2</t>
  </si>
  <si>
    <t>Хаукар</t>
  </si>
  <si>
    <t>Викинугр</t>
  </si>
  <si>
    <t>Алмере</t>
  </si>
  <si>
    <t>Ахиллес</t>
  </si>
  <si>
    <t>Фредрикстад</t>
  </si>
  <si>
    <t>Норвения-2</t>
  </si>
  <si>
    <t>Консвингер</t>
  </si>
  <si>
    <t>ГАИС</t>
  </si>
  <si>
    <t>6-0</t>
  </si>
  <si>
    <t>Виборг</t>
  </si>
  <si>
    <t>Эсбьерг</t>
  </si>
  <si>
    <t>Хвидоври</t>
  </si>
  <si>
    <t>Сигма</t>
  </si>
  <si>
    <t>Капфенберг</t>
  </si>
  <si>
    <t>Хорн</t>
  </si>
  <si>
    <t>2&gt;1</t>
  </si>
  <si>
    <t>Маттербург</t>
  </si>
  <si>
    <t>Хатртберг</t>
  </si>
  <si>
    <t>4-4</t>
  </si>
  <si>
    <t>Винннисюэль</t>
  </si>
  <si>
    <t>Хвидовре</t>
  </si>
  <si>
    <t>Лонгбю</t>
  </si>
  <si>
    <t>Акранес</t>
  </si>
  <si>
    <t>Рейкьявик</t>
  </si>
  <si>
    <t>Энхельхольм</t>
  </si>
  <si>
    <t>Гредиг</t>
  </si>
  <si>
    <t>Сев. Ирландия</t>
  </si>
  <si>
    <t>Ардс</t>
  </si>
  <si>
    <t>Питерхед</t>
  </si>
  <si>
    <t>Куинс Парк</t>
  </si>
  <si>
    <t>Фредерисия</t>
  </si>
  <si>
    <t>Ленгбю</t>
  </si>
  <si>
    <t>Лифтеринг</t>
  </si>
  <si>
    <t>Рапид</t>
  </si>
  <si>
    <t>АБ Копенгаген</t>
  </si>
  <si>
    <t>Хорсенс</t>
  </si>
  <si>
    <t>% от банка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</si>
</sst>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_р_."/>
    <numFmt numFmtId="166" formatCode="[$-419]dd\ mmm\ yy;@"/>
  </numFmts>
  <fonts count="7">
    <font>
      <sz val="10"/>
      <name val="Arial Cyr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10"/>
      <name val="Arial Cyr"/>
      <family val="2"/>
      <charset val="204"/>
    </font>
    <font>
      <sz val="9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2" borderId="1" xfId="0" applyFont="1" applyFill="1" applyBorder="1"/>
    <xf numFmtId="0" fontId="0" fillId="2" borderId="2" xfId="0" applyFill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5" borderId="8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8" xfId="0" applyFont="1" applyFill="1" applyBorder="1"/>
    <xf numFmtId="164" fontId="1" fillId="6" borderId="9" xfId="0" applyNumberFormat="1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5" fontId="1" fillId="7" borderId="9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/>
    <xf numFmtId="165" fontId="4" fillId="2" borderId="5" xfId="0" applyNumberFormat="1" applyFont="1" applyFill="1" applyBorder="1"/>
    <xf numFmtId="165" fontId="0" fillId="3" borderId="4" xfId="0" applyNumberFormat="1" applyFill="1" applyBorder="1"/>
    <xf numFmtId="165" fontId="0" fillId="2" borderId="6" xfId="0" applyNumberFormat="1" applyFill="1" applyBorder="1"/>
    <xf numFmtId="166" fontId="0" fillId="0" borderId="0" xfId="0" applyNumberFormat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8" borderId="4" xfId="0" applyNumberFormat="1" applyFill="1" applyBorder="1" applyAlignment="1">
      <alignment horizontal="center"/>
    </xf>
    <xf numFmtId="4" fontId="0" fillId="8" borderId="4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0" fillId="8" borderId="4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top"/>
    </xf>
    <xf numFmtId="165" fontId="0" fillId="3" borderId="4" xfId="0" applyNumberFormat="1" applyFill="1" applyBorder="1" applyAlignment="1">
      <alignment horizontal="center" vertical="top"/>
    </xf>
    <xf numFmtId="0" fontId="0" fillId="0" borderId="4" xfId="0" applyBorder="1"/>
    <xf numFmtId="49" fontId="0" fillId="0" borderId="4" xfId="0" applyNumberFormat="1" applyBorder="1" applyAlignment="1">
      <alignment horizontal="center" vertical="center"/>
    </xf>
    <xf numFmtId="0" fontId="6" fillId="0" borderId="4" xfId="0" applyFont="1" applyBorder="1"/>
    <xf numFmtId="0" fontId="0" fillId="0" borderId="4" xfId="0" applyFont="1" applyBorder="1"/>
    <xf numFmtId="165" fontId="0" fillId="9" borderId="4" xfId="0" applyNumberFormat="1" applyFill="1" applyBorder="1" applyAlignment="1">
      <alignment horizontal="center"/>
    </xf>
    <xf numFmtId="2" fontId="0" fillId="9" borderId="4" xfId="0" applyNumberFormat="1" applyFill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/>
    <xf numFmtId="2" fontId="0" fillId="4" borderId="5" xfId="0" applyNumberFormat="1" applyFill="1" applyBorder="1"/>
    <xf numFmtId="2" fontId="0" fillId="4" borderId="6" xfId="0" applyNumberFormat="1" applyFill="1" applyBorder="1"/>
    <xf numFmtId="2" fontId="0" fillId="4" borderId="7" xfId="0" applyNumberFormat="1" applyFill="1" applyBorder="1"/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7" xfId="0" applyNumberFormat="1" applyFill="1" applyBorder="1"/>
    <xf numFmtId="1" fontId="0" fillId="0" borderId="0" xfId="0" applyNumberFormat="1"/>
    <xf numFmtId="165" fontId="0" fillId="8" borderId="4" xfId="0" applyNumberFormat="1" applyFill="1" applyBorder="1" applyAlignment="1">
      <alignment horizontal="center" vertical="top"/>
    </xf>
    <xf numFmtId="1" fontId="0" fillId="0" borderId="4" xfId="0" applyNumberFormat="1" applyBorder="1" applyAlignment="1">
      <alignment horizontal="center" vertical="center"/>
    </xf>
    <xf numFmtId="165" fontId="0" fillId="9" borderId="4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vertical="center"/>
    </xf>
    <xf numFmtId="165" fontId="0" fillId="8" borderId="4" xfId="0" applyNumberFormat="1" applyFill="1" applyBorder="1" applyAlignment="1">
      <alignment vertical="center"/>
    </xf>
    <xf numFmtId="165" fontId="0" fillId="21" borderId="4" xfId="0" applyNumberFormat="1" applyFill="1" applyBorder="1"/>
    <xf numFmtId="165" fontId="0" fillId="8" borderId="4" xfId="0" applyNumberFormat="1" applyFill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/>
    <xf numFmtId="0" fontId="0" fillId="20" borderId="0" xfId="0" applyFill="1" applyBorder="1" applyAlignment="1">
      <alignment horizontal="center"/>
    </xf>
    <xf numFmtId="0" fontId="0" fillId="20" borderId="0" xfId="0" applyFill="1" applyAlignment="1"/>
    <xf numFmtId="2" fontId="0" fillId="17" borderId="12" xfId="0" applyNumberForma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15" xfId="0" applyNumberForma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2" fontId="0" fillId="13" borderId="12" xfId="0" applyNumberFormat="1" applyFill="1" applyBorder="1" applyAlignment="1">
      <alignment horizontal="center" vertical="center"/>
    </xf>
    <xf numFmtId="2" fontId="0" fillId="13" borderId="13" xfId="0" applyNumberFormat="1" applyFill="1" applyBorder="1" applyAlignment="1">
      <alignment horizontal="center" vertical="center"/>
    </xf>
    <xf numFmtId="2" fontId="0" fillId="13" borderId="14" xfId="0" applyNumberFormat="1" applyFill="1" applyBorder="1" applyAlignment="1">
      <alignment horizontal="center" vertical="center"/>
    </xf>
    <xf numFmtId="2" fontId="0" fillId="13" borderId="15" xfId="0" applyNumberFormat="1" applyFill="1" applyBorder="1" applyAlignment="1">
      <alignment horizontal="center" vertical="center"/>
    </xf>
    <xf numFmtId="2" fontId="0" fillId="19" borderId="12" xfId="0" applyNumberFormat="1" applyFill="1" applyBorder="1" applyAlignment="1">
      <alignment horizontal="center" vertical="center"/>
    </xf>
    <xf numFmtId="2" fontId="0" fillId="19" borderId="16" xfId="0" applyNumberFormat="1" applyFill="1" applyBorder="1" applyAlignment="1">
      <alignment horizontal="center" vertical="center"/>
    </xf>
    <xf numFmtId="2" fontId="0" fillId="19" borderId="13" xfId="0" applyNumberFormat="1" applyFill="1" applyBorder="1" applyAlignment="1">
      <alignment horizontal="center" vertical="center"/>
    </xf>
    <xf numFmtId="2" fontId="0" fillId="19" borderId="14" xfId="0" applyNumberFormat="1" applyFill="1" applyBorder="1" applyAlignment="1">
      <alignment horizontal="center" vertical="center"/>
    </xf>
    <xf numFmtId="2" fontId="0" fillId="19" borderId="11" xfId="0" applyNumberFormat="1" applyFill="1" applyBorder="1" applyAlignment="1">
      <alignment horizontal="center" vertical="center"/>
    </xf>
    <xf numFmtId="2" fontId="0" fillId="19" borderId="15" xfId="0" applyNumberFormat="1" applyFill="1" applyBorder="1" applyAlignment="1">
      <alignment horizontal="center" vertical="center"/>
    </xf>
    <xf numFmtId="2" fontId="0" fillId="14" borderId="17" xfId="0" applyNumberFormat="1" applyFill="1" applyBorder="1" applyAlignment="1">
      <alignment horizontal="center" vertical="center"/>
    </xf>
    <xf numFmtId="2" fontId="0" fillId="14" borderId="18" xfId="0" applyNumberFormat="1" applyFill="1" applyBorder="1" applyAlignment="1">
      <alignment horizontal="center" vertical="center"/>
    </xf>
    <xf numFmtId="2" fontId="0" fillId="15" borderId="17" xfId="0" applyNumberFormat="1" applyFill="1" applyBorder="1" applyAlignment="1">
      <alignment horizontal="center" vertical="center"/>
    </xf>
    <xf numFmtId="2" fontId="0" fillId="15" borderId="18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2" fontId="0" fillId="16" borderId="12" xfId="0" applyNumberFormat="1" applyFill="1" applyBorder="1" applyAlignment="1">
      <alignment horizontal="center" vertical="center"/>
    </xf>
    <xf numFmtId="2" fontId="0" fillId="16" borderId="13" xfId="0" applyNumberFormat="1" applyFill="1" applyBorder="1" applyAlignment="1">
      <alignment horizontal="center" vertical="center"/>
    </xf>
    <xf numFmtId="2" fontId="0" fillId="16" borderId="14" xfId="0" applyNumberFormat="1" applyFill="1" applyBorder="1" applyAlignment="1">
      <alignment horizontal="center" vertical="center"/>
    </xf>
    <xf numFmtId="2" fontId="0" fillId="16" borderId="15" xfId="0" applyNumberForma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top"/>
    </xf>
    <xf numFmtId="0" fontId="0" fillId="17" borderId="20" xfId="0" applyFill="1" applyBorder="1" applyAlignment="1">
      <alignment horizontal="center" vertical="top"/>
    </xf>
    <xf numFmtId="2" fontId="0" fillId="18" borderId="12" xfId="0" applyNumberFormat="1" applyFill="1" applyBorder="1" applyAlignment="1">
      <alignment horizontal="center" vertical="center"/>
    </xf>
    <xf numFmtId="2" fontId="0" fillId="18" borderId="13" xfId="0" applyNumberFormat="1" applyFill="1" applyBorder="1" applyAlignment="1">
      <alignment horizontal="center" vertical="center"/>
    </xf>
    <xf numFmtId="2" fontId="0" fillId="18" borderId="14" xfId="0" applyNumberFormat="1" applyFill="1" applyBorder="1" applyAlignment="1">
      <alignment horizontal="center" vertical="center"/>
    </xf>
    <xf numFmtId="2" fontId="0" fillId="18" borderId="15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1497884853525971E-2"/>
          <c:y val="3.6182893611531701E-2"/>
          <c:w val="0.9549414729568485"/>
          <c:h val="0.94991110234863863"/>
        </c:manualLayout>
      </c:layout>
      <c:lineChart>
        <c:grouping val="standard"/>
        <c:ser>
          <c:idx val="0"/>
          <c:order val="0"/>
          <c:tx>
            <c:strRef>
              <c:f>'Учёт ставок'!$M$4</c:f>
              <c:strCache>
                <c:ptCount val="1"/>
                <c:pt idx="0">
                  <c:v>-2,50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'Учёт ставок'!$M$5:$M$210</c:f>
              <c:numCache>
                <c:formatCode>#,##0.00_р_.</c:formatCode>
                <c:ptCount val="206"/>
                <c:pt idx="0">
                  <c:v>-4.8</c:v>
                </c:pt>
                <c:pt idx="1">
                  <c:v>-7.1</c:v>
                </c:pt>
                <c:pt idx="2">
                  <c:v>-10.1</c:v>
                </c:pt>
                <c:pt idx="3">
                  <c:v>-12.3</c:v>
                </c:pt>
                <c:pt idx="4">
                  <c:v>-4.9500000000000011</c:v>
                </c:pt>
                <c:pt idx="5">
                  <c:v>-7.7500000000000009</c:v>
                </c:pt>
                <c:pt idx="6">
                  <c:v>-7.7500000000000009</c:v>
                </c:pt>
                <c:pt idx="7">
                  <c:v>-10.450000000000001</c:v>
                </c:pt>
                <c:pt idx="8">
                  <c:v>-0.82500000000000107</c:v>
                </c:pt>
                <c:pt idx="9">
                  <c:v>-4.3250000000000011</c:v>
                </c:pt>
                <c:pt idx="10">
                  <c:v>4.3749999999999982</c:v>
                </c:pt>
                <c:pt idx="11">
                  <c:v>1.3749999999999982</c:v>
                </c:pt>
                <c:pt idx="12">
                  <c:v>-1.325000000000002</c:v>
                </c:pt>
                <c:pt idx="13">
                  <c:v>-4.0250000000000021</c:v>
                </c:pt>
                <c:pt idx="14">
                  <c:v>-7.2250000000000023</c:v>
                </c:pt>
                <c:pt idx="15">
                  <c:v>3.1749999999999963</c:v>
                </c:pt>
                <c:pt idx="16">
                  <c:v>12.274999999999999</c:v>
                </c:pt>
                <c:pt idx="17">
                  <c:v>9.3749999999999982</c:v>
                </c:pt>
                <c:pt idx="18">
                  <c:v>2.8749999999999982</c:v>
                </c:pt>
                <c:pt idx="19">
                  <c:v>-0.52500000000000169</c:v>
                </c:pt>
                <c:pt idx="20">
                  <c:v>-3.9250000000000016</c:v>
                </c:pt>
                <c:pt idx="21">
                  <c:v>-7.1250000000000018</c:v>
                </c:pt>
                <c:pt idx="22">
                  <c:v>-9.9250000000000007</c:v>
                </c:pt>
                <c:pt idx="23">
                  <c:v>-13.425000000000001</c:v>
                </c:pt>
                <c:pt idx="24">
                  <c:v>-5.4250000000000016</c:v>
                </c:pt>
                <c:pt idx="25">
                  <c:v>-8.6250000000000018</c:v>
                </c:pt>
                <c:pt idx="26">
                  <c:v>-11.825000000000003</c:v>
                </c:pt>
                <c:pt idx="27">
                  <c:v>-14.525000000000002</c:v>
                </c:pt>
                <c:pt idx="28">
                  <c:v>-6.0450000000000017</c:v>
                </c:pt>
                <c:pt idx="29">
                  <c:v>-8.745000000000001</c:v>
                </c:pt>
                <c:pt idx="30">
                  <c:v>-8.745000000000001</c:v>
                </c:pt>
                <c:pt idx="31">
                  <c:v>-11.545000000000002</c:v>
                </c:pt>
                <c:pt idx="32">
                  <c:v>-3.0050000000000026</c:v>
                </c:pt>
                <c:pt idx="33">
                  <c:v>-5.8050000000000024</c:v>
                </c:pt>
                <c:pt idx="34">
                  <c:v>-5.8050000000000024</c:v>
                </c:pt>
                <c:pt idx="35">
                  <c:v>-8.6050000000000022</c:v>
                </c:pt>
                <c:pt idx="36">
                  <c:v>-11.305000000000003</c:v>
                </c:pt>
                <c:pt idx="37">
                  <c:v>-14.105000000000004</c:v>
                </c:pt>
                <c:pt idx="38">
                  <c:v>-14.105000000000004</c:v>
                </c:pt>
                <c:pt idx="39">
                  <c:v>-16.905000000000005</c:v>
                </c:pt>
                <c:pt idx="40">
                  <c:v>-16.905000000000005</c:v>
                </c:pt>
                <c:pt idx="41">
                  <c:v>-16.905000000000005</c:v>
                </c:pt>
                <c:pt idx="42">
                  <c:v>-16.905000000000005</c:v>
                </c:pt>
                <c:pt idx="43">
                  <c:v>-19.705000000000005</c:v>
                </c:pt>
                <c:pt idx="44">
                  <c:v>-19.705000000000005</c:v>
                </c:pt>
                <c:pt idx="45">
                  <c:v>-23.205000000000005</c:v>
                </c:pt>
                <c:pt idx="46">
                  <c:v>-26.705000000000005</c:v>
                </c:pt>
                <c:pt idx="47">
                  <c:v>-17.555000000000007</c:v>
                </c:pt>
                <c:pt idx="48">
                  <c:v>-20.355000000000008</c:v>
                </c:pt>
                <c:pt idx="49">
                  <c:v>-12.875000000000007</c:v>
                </c:pt>
                <c:pt idx="50">
                  <c:v>-5.0550000000000068</c:v>
                </c:pt>
                <c:pt idx="51">
                  <c:v>2.324999999999994</c:v>
                </c:pt>
                <c:pt idx="52">
                  <c:v>0.22499999999999387</c:v>
                </c:pt>
                <c:pt idx="53">
                  <c:v>-3.175000000000006</c:v>
                </c:pt>
                <c:pt idx="54">
                  <c:v>-6.675000000000006</c:v>
                </c:pt>
                <c:pt idx="55">
                  <c:v>-10.175000000000006</c:v>
                </c:pt>
                <c:pt idx="56">
                  <c:v>-12.875000000000007</c:v>
                </c:pt>
                <c:pt idx="57">
                  <c:v>-15.875000000000007</c:v>
                </c:pt>
                <c:pt idx="58">
                  <c:v>-18.875000000000007</c:v>
                </c:pt>
                <c:pt idx="59">
                  <c:v>-10.025000000000007</c:v>
                </c:pt>
                <c:pt idx="60">
                  <c:v>-13.025000000000007</c:v>
                </c:pt>
                <c:pt idx="61">
                  <c:v>-4.3250000000000082</c:v>
                </c:pt>
                <c:pt idx="62">
                  <c:v>-6.7250000000000085</c:v>
                </c:pt>
                <c:pt idx="63">
                  <c:v>-9.4250000000000078</c:v>
                </c:pt>
                <c:pt idx="64">
                  <c:v>-12.425000000000008</c:v>
                </c:pt>
                <c:pt idx="65">
                  <c:v>-14.925000000000008</c:v>
                </c:pt>
                <c:pt idx="66">
                  <c:v>-17.025000000000009</c:v>
                </c:pt>
                <c:pt idx="67">
                  <c:v>-19.32500000000001</c:v>
                </c:pt>
                <c:pt idx="68">
                  <c:v>-21.425000000000011</c:v>
                </c:pt>
                <c:pt idx="69">
                  <c:v>-24.425000000000011</c:v>
                </c:pt>
                <c:pt idx="70">
                  <c:v>-26.625000000000011</c:v>
                </c:pt>
                <c:pt idx="71">
                  <c:v>-28.725000000000012</c:v>
                </c:pt>
                <c:pt idx="72">
                  <c:v>-31.525000000000013</c:v>
                </c:pt>
                <c:pt idx="73">
                  <c:v>-22.14500000000001</c:v>
                </c:pt>
                <c:pt idx="74">
                  <c:v>-24.34500000000001</c:v>
                </c:pt>
                <c:pt idx="75">
                  <c:v>-26.545000000000009</c:v>
                </c:pt>
                <c:pt idx="76">
                  <c:v>-17.365000000000009</c:v>
                </c:pt>
                <c:pt idx="77">
                  <c:v>-20.765000000000008</c:v>
                </c:pt>
                <c:pt idx="78">
                  <c:v>-23.565000000000008</c:v>
                </c:pt>
                <c:pt idx="79">
                  <c:v>-26.365000000000009</c:v>
                </c:pt>
                <c:pt idx="80">
                  <c:v>-18.365000000000009</c:v>
                </c:pt>
                <c:pt idx="81">
                  <c:v>-21.865000000000009</c:v>
                </c:pt>
                <c:pt idx="82">
                  <c:v>-24.66500000000001</c:v>
                </c:pt>
                <c:pt idx="83">
                  <c:v>-27.465000000000011</c:v>
                </c:pt>
                <c:pt idx="84">
                  <c:v>-29.66500000000001</c:v>
                </c:pt>
                <c:pt idx="85">
                  <c:v>-31.66500000000001</c:v>
                </c:pt>
                <c:pt idx="86">
                  <c:v>-34.415000000000006</c:v>
                </c:pt>
                <c:pt idx="87">
                  <c:v>-36.615000000000009</c:v>
                </c:pt>
                <c:pt idx="88">
                  <c:v>-39.015000000000008</c:v>
                </c:pt>
                <c:pt idx="89">
                  <c:v>-41.515000000000008</c:v>
                </c:pt>
                <c:pt idx="90">
                  <c:v>-44.415000000000006</c:v>
                </c:pt>
                <c:pt idx="91">
                  <c:v>-36.315000000000005</c:v>
                </c:pt>
                <c:pt idx="92">
                  <c:v>-39.815000000000005</c:v>
                </c:pt>
                <c:pt idx="93">
                  <c:v>-42.515000000000008</c:v>
                </c:pt>
                <c:pt idx="94">
                  <c:v>-45.115000000000009</c:v>
                </c:pt>
                <c:pt idx="95">
                  <c:v>-37.215000000000011</c:v>
                </c:pt>
                <c:pt idx="96">
                  <c:v>-40.215000000000011</c:v>
                </c:pt>
                <c:pt idx="97">
                  <c:v>-31.66500000000001</c:v>
                </c:pt>
                <c:pt idx="98">
                  <c:v>-34.265000000000008</c:v>
                </c:pt>
                <c:pt idx="99">
                  <c:v>-37.165000000000006</c:v>
                </c:pt>
                <c:pt idx="100">
                  <c:v>-40.065000000000005</c:v>
                </c:pt>
                <c:pt idx="101">
                  <c:v>-42.865000000000002</c:v>
                </c:pt>
                <c:pt idx="102">
                  <c:v>-34.865000000000002</c:v>
                </c:pt>
                <c:pt idx="103">
                  <c:v>-27.345000000000002</c:v>
                </c:pt>
                <c:pt idx="104">
                  <c:v>-30.545000000000002</c:v>
                </c:pt>
                <c:pt idx="105">
                  <c:v>-23.195</c:v>
                </c:pt>
                <c:pt idx="106">
                  <c:v>-13.574999999999999</c:v>
                </c:pt>
                <c:pt idx="107">
                  <c:v>-16.774999999999999</c:v>
                </c:pt>
                <c:pt idx="108">
                  <c:v>-20.274999999999999</c:v>
                </c:pt>
                <c:pt idx="109">
                  <c:v>-23.674999999999997</c:v>
                </c:pt>
                <c:pt idx="110">
                  <c:v>-27.174999999999997</c:v>
                </c:pt>
                <c:pt idx="111">
                  <c:v>-30.174999999999997</c:v>
                </c:pt>
                <c:pt idx="112">
                  <c:v>-33.174999999999997</c:v>
                </c:pt>
                <c:pt idx="113">
                  <c:v>-25.494999999999997</c:v>
                </c:pt>
                <c:pt idx="114">
                  <c:v>-18.234999999999996</c:v>
                </c:pt>
                <c:pt idx="115">
                  <c:v>-10.584999999999996</c:v>
                </c:pt>
                <c:pt idx="116">
                  <c:v>-10.584999999999996</c:v>
                </c:pt>
                <c:pt idx="117">
                  <c:v>-13.784999999999997</c:v>
                </c:pt>
                <c:pt idx="118">
                  <c:v>-16.384999999999998</c:v>
                </c:pt>
                <c:pt idx="119">
                  <c:v>-19.884999999999998</c:v>
                </c:pt>
                <c:pt idx="120">
                  <c:v>-23.484999999999999</c:v>
                </c:pt>
                <c:pt idx="121">
                  <c:v>-27.085000000000001</c:v>
                </c:pt>
                <c:pt idx="122">
                  <c:v>-29.685000000000002</c:v>
                </c:pt>
                <c:pt idx="123">
                  <c:v>-32.685000000000002</c:v>
                </c:pt>
                <c:pt idx="124">
                  <c:v>-25.005000000000003</c:v>
                </c:pt>
                <c:pt idx="125">
                  <c:v>-28.305000000000003</c:v>
                </c:pt>
                <c:pt idx="126">
                  <c:v>-31.705000000000002</c:v>
                </c:pt>
                <c:pt idx="127">
                  <c:v>-35.505000000000003</c:v>
                </c:pt>
                <c:pt idx="128">
                  <c:v>-39.605000000000004</c:v>
                </c:pt>
                <c:pt idx="129">
                  <c:v>-33.885000000000005</c:v>
                </c:pt>
                <c:pt idx="130">
                  <c:v>-37.385000000000005</c:v>
                </c:pt>
                <c:pt idx="131">
                  <c:v>-30.255000000000003</c:v>
                </c:pt>
                <c:pt idx="132">
                  <c:v>-33.655000000000001</c:v>
                </c:pt>
                <c:pt idx="133">
                  <c:v>-36.855000000000004</c:v>
                </c:pt>
                <c:pt idx="134">
                  <c:v>-29.175000000000004</c:v>
                </c:pt>
                <c:pt idx="135">
                  <c:v>-32.575000000000003</c:v>
                </c:pt>
                <c:pt idx="136">
                  <c:v>-23.475000000000001</c:v>
                </c:pt>
                <c:pt idx="137">
                  <c:v>-26.975000000000001</c:v>
                </c:pt>
                <c:pt idx="138">
                  <c:v>-30.775000000000002</c:v>
                </c:pt>
                <c:pt idx="139">
                  <c:v>-34.275000000000006</c:v>
                </c:pt>
                <c:pt idx="140">
                  <c:v>-37.475000000000009</c:v>
                </c:pt>
                <c:pt idx="141">
                  <c:v>-40.375000000000007</c:v>
                </c:pt>
                <c:pt idx="142">
                  <c:v>-43.275000000000006</c:v>
                </c:pt>
                <c:pt idx="143">
                  <c:v>-46.475000000000009</c:v>
                </c:pt>
                <c:pt idx="144">
                  <c:v>-49.57500000000001</c:v>
                </c:pt>
                <c:pt idx="145">
                  <c:v>-43.775000000000006</c:v>
                </c:pt>
                <c:pt idx="146">
                  <c:v>-37.075000000000003</c:v>
                </c:pt>
                <c:pt idx="147">
                  <c:v>-30.275000000000002</c:v>
                </c:pt>
                <c:pt idx="148">
                  <c:v>-33.475000000000001</c:v>
                </c:pt>
                <c:pt idx="149">
                  <c:v>-36.875</c:v>
                </c:pt>
                <c:pt idx="150">
                  <c:v>-41.475000000000001</c:v>
                </c:pt>
                <c:pt idx="151">
                  <c:v>-44.675000000000004</c:v>
                </c:pt>
                <c:pt idx="152">
                  <c:v>-48.175000000000004</c:v>
                </c:pt>
                <c:pt idx="153">
                  <c:v>-43.135000000000005</c:v>
                </c:pt>
                <c:pt idx="154">
                  <c:v>-37.825000000000003</c:v>
                </c:pt>
                <c:pt idx="155">
                  <c:v>-31.365000000000002</c:v>
                </c:pt>
                <c:pt idx="156">
                  <c:v>-25.325000000000003</c:v>
                </c:pt>
                <c:pt idx="157">
                  <c:v>-19.825000000000003</c:v>
                </c:pt>
                <c:pt idx="158">
                  <c:v>-13.425000000000002</c:v>
                </c:pt>
                <c:pt idx="159">
                  <c:v>-16.925000000000004</c:v>
                </c:pt>
                <c:pt idx="160">
                  <c:v>-9.6450000000000049</c:v>
                </c:pt>
                <c:pt idx="161">
                  <c:v>-13.045000000000005</c:v>
                </c:pt>
                <c:pt idx="162">
                  <c:v>-6.0450000000000053</c:v>
                </c:pt>
                <c:pt idx="163">
                  <c:v>-9.4450000000000056</c:v>
                </c:pt>
                <c:pt idx="164">
                  <c:v>-2.725000000000005</c:v>
                </c:pt>
                <c:pt idx="165">
                  <c:v>3.234999999999995</c:v>
                </c:pt>
                <c:pt idx="166">
                  <c:v>8.4999999999995079E-2</c:v>
                </c:pt>
                <c:pt idx="167">
                  <c:v>-4.0150000000000041</c:v>
                </c:pt>
                <c:pt idx="168">
                  <c:v>2.7849999999999966</c:v>
                </c:pt>
                <c:pt idx="169">
                  <c:v>-0.71500000000000341</c:v>
                </c:pt>
                <c:pt idx="170">
                  <c:v>-4.4150000000000036</c:v>
                </c:pt>
                <c:pt idx="171">
                  <c:v>1.4849999999999959</c:v>
                </c:pt>
                <c:pt idx="172">
                  <c:v>7.4849999999999959</c:v>
                </c:pt>
                <c:pt idx="173">
                  <c:v>3.3849999999999962</c:v>
                </c:pt>
                <c:pt idx="174">
                  <c:v>0.18499999999999606</c:v>
                </c:pt>
                <c:pt idx="175">
                  <c:v>-2.665000000000004</c:v>
                </c:pt>
                <c:pt idx="176">
                  <c:v>-5.7650000000000041</c:v>
                </c:pt>
                <c:pt idx="177">
                  <c:v>-8.5650000000000048</c:v>
                </c:pt>
                <c:pt idx="178">
                  <c:v>-1.3650000000000047</c:v>
                </c:pt>
                <c:pt idx="179">
                  <c:v>5.5649999999999951</c:v>
                </c:pt>
                <c:pt idx="180">
                  <c:v>11.760999999999996</c:v>
                </c:pt>
                <c:pt idx="181">
                  <c:v>7.3609999999999953</c:v>
                </c:pt>
                <c:pt idx="182">
                  <c:v>3.210999999999995</c:v>
                </c:pt>
                <c:pt idx="183">
                  <c:v>-0.28900000000000503</c:v>
                </c:pt>
                <c:pt idx="184">
                  <c:v>6.9609999999999941</c:v>
                </c:pt>
                <c:pt idx="185">
                  <c:v>13.230999999999995</c:v>
                </c:pt>
                <c:pt idx="186">
                  <c:v>9.7309999999999945</c:v>
                </c:pt>
                <c:pt idx="187">
                  <c:v>16.000999999999994</c:v>
                </c:pt>
                <c:pt idx="188">
                  <c:v>11.200999999999993</c:v>
                </c:pt>
                <c:pt idx="189">
                  <c:v>16.720999999999993</c:v>
                </c:pt>
                <c:pt idx="190">
                  <c:v>13.120999999999993</c:v>
                </c:pt>
                <c:pt idx="191">
                  <c:v>9.5209999999999937</c:v>
                </c:pt>
                <c:pt idx="192">
                  <c:v>6.0209999999999937</c:v>
                </c:pt>
                <c:pt idx="193">
                  <c:v>6.0209999999999937</c:v>
                </c:pt>
                <c:pt idx="194">
                  <c:v>11.540999999999993</c:v>
                </c:pt>
                <c:pt idx="195">
                  <c:v>17.440999999999995</c:v>
                </c:pt>
                <c:pt idx="196">
                  <c:v>23.760999999999996</c:v>
                </c:pt>
                <c:pt idx="197">
                  <c:v>29.460999999999995</c:v>
                </c:pt>
                <c:pt idx="198">
                  <c:v>25.660999999999994</c:v>
                </c:pt>
                <c:pt idx="199">
                  <c:v>21.260999999999996</c:v>
                </c:pt>
                <c:pt idx="200">
                  <c:v>17.160999999999994</c:v>
                </c:pt>
                <c:pt idx="201">
                  <c:v>22.560999999999993</c:v>
                </c:pt>
              </c:numCache>
            </c:numRef>
          </c:val>
        </c:ser>
        <c:ser>
          <c:idx val="1"/>
          <c:order val="1"/>
          <c:tx>
            <c:strRef>
              <c:f>'Учёт ставок'!$N$4</c:f>
              <c:strCache>
                <c:ptCount val="1"/>
                <c:pt idx="0">
                  <c:v>2. Для распечатки, выделите участок, которых вы желаете распечатать, нажмите "Печать…" затем выберите "Выделенный фрагмент" и "ок"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'Учёт ставок'!$N$5:$N$210</c:f>
              <c:numCache>
                <c:formatCode>General</c:formatCode>
                <c:ptCount val="20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</c:numCache>
            </c:numRef>
          </c:val>
        </c:ser>
        <c:dLbls/>
        <c:marker val="1"/>
        <c:axId val="200881280"/>
        <c:axId val="200882816"/>
      </c:lineChart>
      <c:catAx>
        <c:axId val="200881280"/>
        <c:scaling>
          <c:orientation val="minMax"/>
        </c:scaling>
        <c:axPos val="b"/>
        <c:numFmt formatCode="General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882816"/>
        <c:crosses val="autoZero"/>
        <c:auto val="1"/>
        <c:lblAlgn val="ctr"/>
        <c:lblOffset val="100"/>
        <c:tickLblSkip val="1"/>
        <c:noMultiLvlLbl val="1"/>
      </c:catAx>
      <c:valAx>
        <c:axId val="2008828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р_.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88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508000</xdr:colOff>
      <xdr:row>16</xdr:row>
      <xdr:rowOff>119063</xdr:rowOff>
    </xdr:from>
    <xdr:to>
      <xdr:col>36</xdr:col>
      <xdr:colOff>452437</xdr:colOff>
      <xdr:row>52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1"/>
  <sheetViews>
    <sheetView tabSelected="1" zoomScale="120" zoomScaleNormal="120" workbookViewId="0">
      <selection activeCell="A281" sqref="A281:XFD11003"/>
    </sheetView>
  </sheetViews>
  <sheetFormatPr defaultRowHeight="12.75"/>
  <cols>
    <col min="1" max="1" width="5.85546875" customWidth="1"/>
    <col min="2" max="2" width="12.85546875" style="26" customWidth="1"/>
    <col min="3" max="3" width="13" style="29" customWidth="1"/>
    <col min="4" max="4" width="12.7109375" style="29" customWidth="1"/>
    <col min="5" max="5" width="16.5703125" style="29" customWidth="1"/>
    <col min="6" max="6" width="20" style="29" customWidth="1"/>
    <col min="7" max="7" width="18" style="29" customWidth="1"/>
    <col min="8" max="8" width="11.7109375" style="5" customWidth="1"/>
    <col min="9" max="9" width="9.5703125" style="5" customWidth="1"/>
    <col min="10" max="10" width="11.28515625" style="19" customWidth="1"/>
    <col min="11" max="11" width="11.85546875" style="19" customWidth="1"/>
    <col min="12" max="12" width="9.5703125" style="19" customWidth="1"/>
    <col min="13" max="13" width="10.28515625" customWidth="1"/>
  </cols>
  <sheetData>
    <row r="1" spans="1:25" ht="16.5" thickBot="1">
      <c r="A1" s="67" t="s">
        <v>7</v>
      </c>
      <c r="B1" s="68"/>
      <c r="C1" s="17">
        <v>100</v>
      </c>
      <c r="E1" s="69" t="s">
        <v>6</v>
      </c>
      <c r="F1" s="69"/>
      <c r="G1" s="70"/>
      <c r="H1" s="18">
        <f>C1+SUM(L4:L280)</f>
        <v>107.261</v>
      </c>
      <c r="I1" s="32"/>
      <c r="K1" s="20" t="s">
        <v>16</v>
      </c>
      <c r="L1" s="21">
        <f>H1-C1</f>
        <v>7.2609999999999957</v>
      </c>
    </row>
    <row r="2" spans="1:25" ht="13.5" thickBot="1">
      <c r="N2" t="s">
        <v>54</v>
      </c>
    </row>
    <row r="3" spans="1:25">
      <c r="A3" s="1" t="s">
        <v>3</v>
      </c>
      <c r="B3" s="27" t="s">
        <v>0</v>
      </c>
      <c r="C3" s="30" t="s">
        <v>1</v>
      </c>
      <c r="D3" s="30" t="s">
        <v>2</v>
      </c>
      <c r="E3" s="30" t="s">
        <v>53</v>
      </c>
      <c r="F3" s="30" t="s">
        <v>57</v>
      </c>
      <c r="G3" s="30" t="s">
        <v>58</v>
      </c>
      <c r="H3" s="6" t="s">
        <v>4</v>
      </c>
      <c r="I3" s="6" t="s">
        <v>86</v>
      </c>
      <c r="J3" s="22" t="s">
        <v>5</v>
      </c>
      <c r="K3" s="22" t="s">
        <v>8</v>
      </c>
      <c r="L3" s="23" t="s">
        <v>9</v>
      </c>
      <c r="N3" s="4" t="s">
        <v>55</v>
      </c>
    </row>
    <row r="4" spans="1:25">
      <c r="A4" s="2">
        <v>1</v>
      </c>
      <c r="B4" s="28">
        <v>41342</v>
      </c>
      <c r="C4" s="31" t="s">
        <v>62</v>
      </c>
      <c r="D4" s="31" t="s">
        <v>10</v>
      </c>
      <c r="E4" s="31" t="s">
        <v>59</v>
      </c>
      <c r="F4" s="31" t="s">
        <v>60</v>
      </c>
      <c r="G4" s="31" t="s">
        <v>61</v>
      </c>
      <c r="H4" s="7">
        <v>4.95</v>
      </c>
      <c r="I4" s="33" t="s">
        <v>87</v>
      </c>
      <c r="J4" s="24">
        <v>2.5</v>
      </c>
      <c r="K4" s="35">
        <v>0</v>
      </c>
      <c r="L4" s="25">
        <f>K4-J4</f>
        <v>-2.5</v>
      </c>
      <c r="M4" s="19">
        <f>L4</f>
        <v>-2.5</v>
      </c>
      <c r="N4" s="3" t="s">
        <v>56</v>
      </c>
    </row>
    <row r="5" spans="1:25">
      <c r="A5" s="2">
        <v>2</v>
      </c>
      <c r="B5" s="28">
        <v>41342</v>
      </c>
      <c r="C5" s="31" t="s">
        <v>62</v>
      </c>
      <c r="D5" s="31" t="s">
        <v>10</v>
      </c>
      <c r="E5" s="31" t="s">
        <v>63</v>
      </c>
      <c r="F5" s="31" t="s">
        <v>64</v>
      </c>
      <c r="G5" s="31" t="s">
        <v>65</v>
      </c>
      <c r="H5" s="7">
        <v>4.5</v>
      </c>
      <c r="I5" s="33" t="s">
        <v>89</v>
      </c>
      <c r="J5" s="24">
        <v>2.2999999999999998</v>
      </c>
      <c r="K5" s="35">
        <v>0</v>
      </c>
      <c r="L5" s="25">
        <f t="shared" ref="L5:L68" si="0">K5-J5</f>
        <v>-2.2999999999999998</v>
      </c>
      <c r="M5" s="19">
        <f>SUM(L4,L5)</f>
        <v>-4.8</v>
      </c>
      <c r="N5">
        <v>2</v>
      </c>
    </row>
    <row r="6" spans="1:25">
      <c r="A6" s="2">
        <v>3</v>
      </c>
      <c r="B6" s="28">
        <v>41342</v>
      </c>
      <c r="C6" s="31" t="s">
        <v>62</v>
      </c>
      <c r="D6" s="31" t="s">
        <v>10</v>
      </c>
      <c r="E6" s="31" t="s">
        <v>66</v>
      </c>
      <c r="F6" s="31" t="s">
        <v>67</v>
      </c>
      <c r="G6" s="31" t="s">
        <v>68</v>
      </c>
      <c r="H6" s="7">
        <v>5.6</v>
      </c>
      <c r="I6" s="33" t="s">
        <v>89</v>
      </c>
      <c r="J6" s="24">
        <v>2.2999999999999998</v>
      </c>
      <c r="K6" s="35">
        <v>0</v>
      </c>
      <c r="L6" s="25">
        <f t="shared" si="0"/>
        <v>-2.2999999999999998</v>
      </c>
      <c r="M6" s="19">
        <f>SUM(L4:L6)</f>
        <v>-7.1</v>
      </c>
      <c r="N6">
        <v>3</v>
      </c>
    </row>
    <row r="7" spans="1:25">
      <c r="A7" s="2">
        <v>4</v>
      </c>
      <c r="B7" s="28">
        <v>41342</v>
      </c>
      <c r="C7" s="31" t="s">
        <v>62</v>
      </c>
      <c r="D7" s="31" t="s">
        <v>10</v>
      </c>
      <c r="E7" s="31" t="s">
        <v>69</v>
      </c>
      <c r="F7" s="31" t="s">
        <v>70</v>
      </c>
      <c r="G7" s="31" t="s">
        <v>71</v>
      </c>
      <c r="H7" s="7">
        <v>4</v>
      </c>
      <c r="I7" s="33" t="s">
        <v>90</v>
      </c>
      <c r="J7" s="24">
        <v>3</v>
      </c>
      <c r="K7" s="35">
        <v>0</v>
      </c>
      <c r="L7" s="25">
        <f>K7-J7</f>
        <v>-3</v>
      </c>
      <c r="M7" s="19">
        <f>SUM(L4:L7)</f>
        <v>-10.1</v>
      </c>
      <c r="N7">
        <v>4</v>
      </c>
    </row>
    <row r="8" spans="1:25">
      <c r="A8" s="2">
        <v>5</v>
      </c>
      <c r="B8" s="28">
        <v>41342</v>
      </c>
      <c r="C8" s="31" t="s">
        <v>62</v>
      </c>
      <c r="D8" s="31" t="s">
        <v>10</v>
      </c>
      <c r="E8" s="31" t="s">
        <v>72</v>
      </c>
      <c r="F8" s="31" t="s">
        <v>73</v>
      </c>
      <c r="G8" s="31" t="s">
        <v>74</v>
      </c>
      <c r="H8" s="7">
        <v>5.9</v>
      </c>
      <c r="I8" s="33" t="s">
        <v>91</v>
      </c>
      <c r="J8" s="24">
        <v>2.2000000000000002</v>
      </c>
      <c r="K8" s="35">
        <v>0</v>
      </c>
      <c r="L8" s="25">
        <f t="shared" si="0"/>
        <v>-2.2000000000000002</v>
      </c>
      <c r="M8" s="19">
        <f>SUM(L4:L8)</f>
        <v>-12.3</v>
      </c>
      <c r="N8">
        <v>5</v>
      </c>
    </row>
    <row r="9" spans="1:25">
      <c r="A9" s="2">
        <v>6</v>
      </c>
      <c r="B9" s="28">
        <v>41342</v>
      </c>
      <c r="C9" s="31" t="s">
        <v>62</v>
      </c>
      <c r="D9" s="31" t="s">
        <v>10</v>
      </c>
      <c r="E9" s="31" t="s">
        <v>75</v>
      </c>
      <c r="F9" s="31" t="s">
        <v>76</v>
      </c>
      <c r="G9" s="31" t="s">
        <v>77</v>
      </c>
      <c r="H9" s="7">
        <v>3.1</v>
      </c>
      <c r="I9" s="33" t="s">
        <v>92</v>
      </c>
      <c r="J9" s="24">
        <v>3.5</v>
      </c>
      <c r="K9" s="36">
        <v>10.85</v>
      </c>
      <c r="L9" s="25">
        <f t="shared" si="0"/>
        <v>7.35</v>
      </c>
      <c r="M9" s="19">
        <f>SUM(L4:L9)</f>
        <v>-4.9500000000000011</v>
      </c>
      <c r="N9">
        <v>6</v>
      </c>
    </row>
    <row r="10" spans="1:25">
      <c r="A10" s="2">
        <v>7</v>
      </c>
      <c r="B10" s="28">
        <v>41342</v>
      </c>
      <c r="C10" s="31" t="s">
        <v>62</v>
      </c>
      <c r="D10" s="31" t="s">
        <v>10</v>
      </c>
      <c r="E10" s="31" t="s">
        <v>80</v>
      </c>
      <c r="F10" s="31" t="s">
        <v>78</v>
      </c>
      <c r="G10" s="31" t="s">
        <v>79</v>
      </c>
      <c r="H10" s="7">
        <v>3.85</v>
      </c>
      <c r="I10" s="33" t="s">
        <v>93</v>
      </c>
      <c r="J10" s="24">
        <v>2.8</v>
      </c>
      <c r="K10" s="35">
        <v>0</v>
      </c>
      <c r="L10" s="25">
        <f t="shared" si="0"/>
        <v>-2.8</v>
      </c>
      <c r="M10" s="19">
        <f>SUM(L4:L10)</f>
        <v>-7.7500000000000009</v>
      </c>
      <c r="N10">
        <v>7</v>
      </c>
    </row>
    <row r="11" spans="1:25">
      <c r="A11" s="2">
        <v>8</v>
      </c>
      <c r="B11" s="28">
        <v>41342</v>
      </c>
      <c r="C11" s="31" t="s">
        <v>62</v>
      </c>
      <c r="D11" s="31" t="s">
        <v>10</v>
      </c>
      <c r="E11" s="31" t="s">
        <v>81</v>
      </c>
      <c r="F11" s="31" t="s">
        <v>82</v>
      </c>
      <c r="G11" s="31" t="s">
        <v>83</v>
      </c>
      <c r="H11" s="7">
        <v>3.9</v>
      </c>
      <c r="I11" s="33" t="s">
        <v>137</v>
      </c>
      <c r="J11" s="24">
        <v>2.9</v>
      </c>
      <c r="K11" s="49">
        <v>2.9</v>
      </c>
      <c r="L11" s="25">
        <f t="shared" si="0"/>
        <v>0</v>
      </c>
      <c r="M11" s="19">
        <f>SUM(L4:L11)</f>
        <v>-7.7500000000000009</v>
      </c>
      <c r="N11">
        <v>8</v>
      </c>
    </row>
    <row r="12" spans="1:25">
      <c r="A12" s="2">
        <v>9</v>
      </c>
      <c r="B12" s="28">
        <v>41342</v>
      </c>
      <c r="C12" s="31" t="s">
        <v>62</v>
      </c>
      <c r="D12" s="31" t="s">
        <v>10</v>
      </c>
      <c r="E12" s="31" t="s">
        <v>81</v>
      </c>
      <c r="F12" s="31" t="s">
        <v>84</v>
      </c>
      <c r="G12" s="31" t="s">
        <v>85</v>
      </c>
      <c r="H12" s="7">
        <v>4.45</v>
      </c>
      <c r="I12" s="33" t="s">
        <v>94</v>
      </c>
      <c r="J12" s="24">
        <v>2.7</v>
      </c>
      <c r="K12" s="35">
        <v>0</v>
      </c>
      <c r="L12" s="25">
        <f t="shared" si="0"/>
        <v>-2.7</v>
      </c>
      <c r="M12" s="19">
        <f>SUM(L4:L12)</f>
        <v>-10.450000000000001</v>
      </c>
      <c r="N12">
        <v>9</v>
      </c>
    </row>
    <row r="13" spans="1:25">
      <c r="A13" s="2">
        <v>10</v>
      </c>
      <c r="B13" s="28">
        <v>41342</v>
      </c>
      <c r="C13" s="31" t="s">
        <v>62</v>
      </c>
      <c r="D13" s="31" t="s">
        <v>10</v>
      </c>
      <c r="E13" s="31" t="s">
        <v>81</v>
      </c>
      <c r="F13" s="31" t="s">
        <v>95</v>
      </c>
      <c r="G13" s="31" t="s">
        <v>96</v>
      </c>
      <c r="H13" s="7">
        <v>4.8499999999999996</v>
      </c>
      <c r="I13" s="33" t="s">
        <v>97</v>
      </c>
      <c r="J13" s="35">
        <v>2.5</v>
      </c>
      <c r="K13" s="37">
        <v>12.125</v>
      </c>
      <c r="L13" s="25">
        <f t="shared" si="0"/>
        <v>9.625</v>
      </c>
      <c r="M13" s="19">
        <f>SUM(L4:L13)</f>
        <v>-0.82500000000000107</v>
      </c>
      <c r="N13">
        <v>10</v>
      </c>
    </row>
    <row r="14" spans="1:25">
      <c r="A14" s="2">
        <v>11</v>
      </c>
      <c r="B14" s="28">
        <v>41343</v>
      </c>
      <c r="C14" s="31" t="s">
        <v>98</v>
      </c>
      <c r="D14" s="31" t="s">
        <v>10</v>
      </c>
      <c r="E14" s="31" t="s">
        <v>99</v>
      </c>
      <c r="F14" s="31" t="s">
        <v>100</v>
      </c>
      <c r="G14" s="31" t="s">
        <v>101</v>
      </c>
      <c r="H14" s="7">
        <v>3</v>
      </c>
      <c r="I14" s="33" t="s">
        <v>91</v>
      </c>
      <c r="J14" s="35">
        <v>3.5</v>
      </c>
      <c r="K14" s="38">
        <v>0</v>
      </c>
      <c r="L14" s="25">
        <f t="shared" si="0"/>
        <v>-3.5</v>
      </c>
      <c r="M14" s="19">
        <f>SUM(L4:L14)</f>
        <v>-4.3250000000000011</v>
      </c>
      <c r="N14">
        <v>11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>
      <c r="A15" s="2">
        <v>12</v>
      </c>
      <c r="B15" s="28">
        <v>41343</v>
      </c>
      <c r="C15" s="31" t="s">
        <v>98</v>
      </c>
      <c r="D15" s="31" t="s">
        <v>10</v>
      </c>
      <c r="E15" s="31" t="s">
        <v>99</v>
      </c>
      <c r="F15" s="31" t="s">
        <v>102</v>
      </c>
      <c r="G15" s="31" t="s">
        <v>103</v>
      </c>
      <c r="H15" s="7">
        <v>3.9</v>
      </c>
      <c r="I15" s="33" t="s">
        <v>119</v>
      </c>
      <c r="J15" s="35">
        <v>3</v>
      </c>
      <c r="K15" s="36">
        <v>11.7</v>
      </c>
      <c r="L15" s="25">
        <f t="shared" si="0"/>
        <v>8.6999999999999993</v>
      </c>
      <c r="M15" s="19">
        <f>SUM(L4:L15)</f>
        <v>4.3749999999999982</v>
      </c>
      <c r="N15">
        <v>12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>
      <c r="A16" s="2">
        <v>13</v>
      </c>
      <c r="B16" s="28">
        <v>41343</v>
      </c>
      <c r="C16" s="31" t="s">
        <v>98</v>
      </c>
      <c r="D16" s="31" t="s">
        <v>10</v>
      </c>
      <c r="E16" s="31" t="s">
        <v>104</v>
      </c>
      <c r="F16" s="31" t="s">
        <v>105</v>
      </c>
      <c r="G16" s="31" t="s">
        <v>106</v>
      </c>
      <c r="H16" s="7">
        <v>4</v>
      </c>
      <c r="I16" s="33" t="s">
        <v>120</v>
      </c>
      <c r="J16" s="35">
        <v>3</v>
      </c>
      <c r="K16" s="35">
        <v>0</v>
      </c>
      <c r="L16" s="25">
        <f t="shared" si="0"/>
        <v>-3</v>
      </c>
      <c r="M16" s="19">
        <f>SUM(L4:L16)</f>
        <v>1.3749999999999982</v>
      </c>
      <c r="N16">
        <v>13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>
      <c r="A17" s="2">
        <v>14</v>
      </c>
      <c r="B17" s="28">
        <v>41343</v>
      </c>
      <c r="C17" s="31" t="s">
        <v>98</v>
      </c>
      <c r="D17" s="31" t="s">
        <v>10</v>
      </c>
      <c r="E17" s="31" t="s">
        <v>107</v>
      </c>
      <c r="F17" s="31" t="s">
        <v>109</v>
      </c>
      <c r="G17" s="31" t="s">
        <v>108</v>
      </c>
      <c r="H17" s="7">
        <v>4.55</v>
      </c>
      <c r="I17" s="33" t="s">
        <v>93</v>
      </c>
      <c r="J17" s="35">
        <v>2.7</v>
      </c>
      <c r="K17" s="35">
        <v>0</v>
      </c>
      <c r="L17" s="25">
        <f t="shared" si="0"/>
        <v>-2.7</v>
      </c>
      <c r="M17" s="19">
        <f>SUM(L4:L17)</f>
        <v>-1.325000000000002</v>
      </c>
      <c r="N17">
        <v>14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>
      <c r="A18" s="2">
        <v>15</v>
      </c>
      <c r="B18" s="28">
        <v>41343</v>
      </c>
      <c r="C18" s="31" t="s">
        <v>62</v>
      </c>
      <c r="D18" s="31" t="s">
        <v>10</v>
      </c>
      <c r="E18" s="31" t="s">
        <v>110</v>
      </c>
      <c r="F18" s="31" t="s">
        <v>111</v>
      </c>
      <c r="G18" s="31" t="s">
        <v>112</v>
      </c>
      <c r="H18" s="7">
        <v>4.0999999999999996</v>
      </c>
      <c r="I18" s="33" t="s">
        <v>121</v>
      </c>
      <c r="J18" s="35">
        <v>2.7</v>
      </c>
      <c r="K18" s="35">
        <v>0</v>
      </c>
      <c r="L18" s="25">
        <f t="shared" si="0"/>
        <v>-2.7</v>
      </c>
      <c r="M18" s="19">
        <f>SUM(L4:L18)</f>
        <v>-4.0250000000000021</v>
      </c>
      <c r="N18">
        <v>15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>
      <c r="A19" s="2">
        <v>16</v>
      </c>
      <c r="B19" s="28">
        <v>41343</v>
      </c>
      <c r="C19" s="31" t="s">
        <v>116</v>
      </c>
      <c r="D19" s="31" t="s">
        <v>10</v>
      </c>
      <c r="E19" s="31" t="s">
        <v>113</v>
      </c>
      <c r="F19" s="31" t="s">
        <v>114</v>
      </c>
      <c r="G19" s="31" t="s">
        <v>115</v>
      </c>
      <c r="H19" s="7">
        <v>3.65</v>
      </c>
      <c r="I19" s="33" t="s">
        <v>87</v>
      </c>
      <c r="J19" s="35">
        <v>3.2</v>
      </c>
      <c r="K19" s="35">
        <v>0</v>
      </c>
      <c r="L19" s="25">
        <f t="shared" si="0"/>
        <v>-3.2</v>
      </c>
      <c r="M19" s="19">
        <f>SUM(L4:L19)</f>
        <v>-7.2250000000000023</v>
      </c>
      <c r="N19">
        <v>16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>
      <c r="A20" s="2">
        <v>17</v>
      </c>
      <c r="B20" s="28">
        <v>41343</v>
      </c>
      <c r="C20" s="31" t="s">
        <v>116</v>
      </c>
      <c r="D20" s="31" t="s">
        <v>10</v>
      </c>
      <c r="E20" s="31" t="s">
        <v>113</v>
      </c>
      <c r="F20" s="31" t="s">
        <v>117</v>
      </c>
      <c r="G20" s="31" t="s">
        <v>118</v>
      </c>
      <c r="H20" s="7">
        <v>4.25</v>
      </c>
      <c r="I20" s="33" t="s">
        <v>122</v>
      </c>
      <c r="J20" s="35">
        <v>3.2</v>
      </c>
      <c r="K20" s="36">
        <v>13.6</v>
      </c>
      <c r="L20" s="25">
        <f t="shared" si="0"/>
        <v>10.399999999999999</v>
      </c>
      <c r="M20" s="19">
        <f>SUM(L4:L20)</f>
        <v>3.1749999999999963</v>
      </c>
      <c r="N20">
        <v>17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>
      <c r="A21" s="2">
        <v>18</v>
      </c>
      <c r="B21" s="28">
        <v>41344</v>
      </c>
      <c r="C21" s="31" t="s">
        <v>116</v>
      </c>
      <c r="D21" s="31" t="s">
        <v>10</v>
      </c>
      <c r="E21" s="31" t="s">
        <v>72</v>
      </c>
      <c r="F21" s="31" t="s">
        <v>123</v>
      </c>
      <c r="G21" s="31" t="s">
        <v>124</v>
      </c>
      <c r="H21" s="7">
        <v>4.25</v>
      </c>
      <c r="I21" s="33" t="s">
        <v>136</v>
      </c>
      <c r="J21" s="35">
        <v>2.8</v>
      </c>
      <c r="K21" s="36">
        <v>11.9</v>
      </c>
      <c r="L21" s="25">
        <f t="shared" si="0"/>
        <v>9.1000000000000014</v>
      </c>
      <c r="M21" s="19">
        <f>SUM(L4:L21)</f>
        <v>12.274999999999999</v>
      </c>
      <c r="N21">
        <v>18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>
      <c r="A22" s="2">
        <v>19</v>
      </c>
      <c r="B22" s="28">
        <v>41344</v>
      </c>
      <c r="C22" s="31" t="s">
        <v>116</v>
      </c>
      <c r="D22" s="31" t="s">
        <v>10</v>
      </c>
      <c r="E22" s="31" t="s">
        <v>125</v>
      </c>
      <c r="F22" s="31" t="s">
        <v>126</v>
      </c>
      <c r="G22" s="31" t="s">
        <v>127</v>
      </c>
      <c r="H22" s="7">
        <v>4.2</v>
      </c>
      <c r="I22" s="33" t="s">
        <v>94</v>
      </c>
      <c r="J22" s="35">
        <v>2.9</v>
      </c>
      <c r="K22" s="35">
        <v>0</v>
      </c>
      <c r="L22" s="25">
        <f t="shared" si="0"/>
        <v>-2.9</v>
      </c>
      <c r="M22" s="19">
        <f>SUM(L4:L22)</f>
        <v>9.3749999999999982</v>
      </c>
      <c r="N22">
        <v>19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>
      <c r="A23" s="2">
        <v>20</v>
      </c>
      <c r="B23" s="28">
        <v>41345</v>
      </c>
      <c r="C23" s="31" t="s">
        <v>128</v>
      </c>
      <c r="D23" s="31" t="s">
        <v>10</v>
      </c>
      <c r="E23" s="31" t="s">
        <v>88</v>
      </c>
      <c r="F23" s="31" t="s">
        <v>129</v>
      </c>
      <c r="G23" s="31" t="s">
        <v>130</v>
      </c>
      <c r="H23" s="7">
        <v>1.55</v>
      </c>
      <c r="I23" s="33" t="s">
        <v>91</v>
      </c>
      <c r="J23" s="35">
        <v>6.5</v>
      </c>
      <c r="K23" s="35">
        <v>0</v>
      </c>
      <c r="L23" s="25">
        <f t="shared" si="0"/>
        <v>-6.5</v>
      </c>
      <c r="M23" s="19">
        <f>SUM(L4:L23)</f>
        <v>2.8749999999999982</v>
      </c>
      <c r="N23">
        <v>20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>
      <c r="A24" s="2">
        <v>21</v>
      </c>
      <c r="B24" s="28">
        <v>41345</v>
      </c>
      <c r="C24" s="31" t="s">
        <v>98</v>
      </c>
      <c r="D24" s="31" t="s">
        <v>10</v>
      </c>
      <c r="E24" s="31" t="s">
        <v>131</v>
      </c>
      <c r="F24" s="31" t="s">
        <v>132</v>
      </c>
      <c r="G24" s="31" t="s">
        <v>133</v>
      </c>
      <c r="H24" s="7">
        <v>3.25</v>
      </c>
      <c r="I24" s="33" t="s">
        <v>138</v>
      </c>
      <c r="J24" s="35">
        <v>3.4</v>
      </c>
      <c r="K24" s="35">
        <v>0</v>
      </c>
      <c r="L24" s="25">
        <f t="shared" si="0"/>
        <v>-3.4</v>
      </c>
      <c r="M24" s="19">
        <f>SUM(L4:L24)</f>
        <v>-0.52500000000000169</v>
      </c>
      <c r="N24">
        <v>21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>
      <c r="A25" s="2">
        <v>22</v>
      </c>
      <c r="B25" s="28">
        <v>41345</v>
      </c>
      <c r="C25" s="31" t="s">
        <v>116</v>
      </c>
      <c r="D25" s="31" t="s">
        <v>10</v>
      </c>
      <c r="E25" s="31" t="s">
        <v>131</v>
      </c>
      <c r="F25" s="31" t="s">
        <v>134</v>
      </c>
      <c r="G25" s="31" t="s">
        <v>135</v>
      </c>
      <c r="H25" s="7">
        <v>3.3</v>
      </c>
      <c r="I25" s="33" t="s">
        <v>119</v>
      </c>
      <c r="J25" s="35">
        <v>3.4</v>
      </c>
      <c r="K25" s="35">
        <v>0</v>
      </c>
      <c r="L25" s="25">
        <f t="shared" si="0"/>
        <v>-3.4</v>
      </c>
      <c r="M25" s="19">
        <f>SUM(L4:L25)</f>
        <v>-3.9250000000000016</v>
      </c>
      <c r="N25">
        <v>22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>
      <c r="A26" s="2">
        <v>23</v>
      </c>
      <c r="B26" s="28">
        <v>41345</v>
      </c>
      <c r="C26" s="31" t="s">
        <v>116</v>
      </c>
      <c r="D26" s="31" t="s">
        <v>10</v>
      </c>
      <c r="E26" s="31" t="s">
        <v>141</v>
      </c>
      <c r="F26" s="31" t="s">
        <v>139</v>
      </c>
      <c r="G26" s="31" t="s">
        <v>140</v>
      </c>
      <c r="H26" s="7">
        <v>3.65</v>
      </c>
      <c r="I26" s="33" t="s">
        <v>91</v>
      </c>
      <c r="J26" s="35">
        <v>3.2</v>
      </c>
      <c r="K26" s="35">
        <v>0</v>
      </c>
      <c r="L26" s="25">
        <f t="shared" si="0"/>
        <v>-3.2</v>
      </c>
      <c r="M26" s="19">
        <f>SUM(L4:L26)</f>
        <v>-7.1250000000000018</v>
      </c>
      <c r="N26">
        <v>23</v>
      </c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>
      <c r="A27" s="2">
        <v>24</v>
      </c>
      <c r="B27" s="28">
        <v>41346</v>
      </c>
      <c r="C27" s="31" t="s">
        <v>62</v>
      </c>
      <c r="D27" s="31" t="s">
        <v>10</v>
      </c>
      <c r="E27" s="31" t="s">
        <v>142</v>
      </c>
      <c r="F27" s="31" t="s">
        <v>143</v>
      </c>
      <c r="G27" s="31" t="s">
        <v>144</v>
      </c>
      <c r="H27" s="7">
        <v>4.04</v>
      </c>
      <c r="I27" s="33" t="s">
        <v>91</v>
      </c>
      <c r="J27" s="35">
        <v>2.8</v>
      </c>
      <c r="K27" s="35">
        <v>0</v>
      </c>
      <c r="L27" s="25">
        <f t="shared" si="0"/>
        <v>-2.8</v>
      </c>
      <c r="M27" s="19">
        <f>SUM(L4:L27)</f>
        <v>-9.9250000000000007</v>
      </c>
      <c r="N27">
        <v>24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>
      <c r="A28" s="2">
        <v>25</v>
      </c>
      <c r="B28" s="28">
        <v>41346</v>
      </c>
      <c r="C28" s="31" t="s">
        <v>98</v>
      </c>
      <c r="D28" s="31" t="s">
        <v>10</v>
      </c>
      <c r="E28" s="31" t="s">
        <v>99</v>
      </c>
      <c r="F28" s="31" t="s">
        <v>145</v>
      </c>
      <c r="G28" s="31" t="s">
        <v>146</v>
      </c>
      <c r="H28" s="7">
        <v>3</v>
      </c>
      <c r="I28" s="33" t="s">
        <v>87</v>
      </c>
      <c r="J28" s="35">
        <v>3.5</v>
      </c>
      <c r="K28" s="35">
        <v>0</v>
      </c>
      <c r="L28" s="25">
        <f t="shared" si="0"/>
        <v>-3.5</v>
      </c>
      <c r="M28" s="19">
        <f>SUM(L4:L28)</f>
        <v>-13.425000000000001</v>
      </c>
      <c r="N28">
        <v>25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>
      <c r="A29" s="2">
        <v>26</v>
      </c>
      <c r="B29" s="28">
        <v>41346</v>
      </c>
      <c r="C29" s="31" t="s">
        <v>116</v>
      </c>
      <c r="D29" s="31" t="s">
        <v>10</v>
      </c>
      <c r="E29" s="31" t="s">
        <v>72</v>
      </c>
      <c r="F29" s="31" t="s">
        <v>147</v>
      </c>
      <c r="G29" s="31" t="s">
        <v>73</v>
      </c>
      <c r="H29" s="7">
        <v>3.5</v>
      </c>
      <c r="I29" s="33" t="s">
        <v>122</v>
      </c>
      <c r="J29" s="35">
        <v>3.2</v>
      </c>
      <c r="K29" s="36">
        <v>11.2</v>
      </c>
      <c r="L29" s="25">
        <f t="shared" si="0"/>
        <v>7.9999999999999991</v>
      </c>
      <c r="M29" s="19">
        <f>SUM(L4:L29)</f>
        <v>-5.4250000000000016</v>
      </c>
      <c r="N29">
        <v>26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>
      <c r="A30" s="2">
        <v>27</v>
      </c>
      <c r="B30" s="28"/>
      <c r="C30" s="31" t="s">
        <v>151</v>
      </c>
      <c r="D30" s="31" t="s">
        <v>10</v>
      </c>
      <c r="E30" s="31" t="s">
        <v>148</v>
      </c>
      <c r="F30" s="31" t="s">
        <v>149</v>
      </c>
      <c r="G30" s="31" t="s">
        <v>150</v>
      </c>
      <c r="H30" s="7">
        <v>3.4</v>
      </c>
      <c r="I30" s="33" t="s">
        <v>163</v>
      </c>
      <c r="J30" s="35">
        <v>3.2</v>
      </c>
      <c r="K30" s="35">
        <v>0</v>
      </c>
      <c r="L30" s="25">
        <f t="shared" si="0"/>
        <v>-3.2</v>
      </c>
      <c r="M30" s="19">
        <f>SUM(L4:L30)</f>
        <v>-8.6250000000000018</v>
      </c>
      <c r="N30">
        <v>27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>
      <c r="A31" s="2">
        <v>28</v>
      </c>
      <c r="B31" s="28"/>
      <c r="C31" s="31" t="s">
        <v>98</v>
      </c>
      <c r="D31" s="31" t="s">
        <v>10</v>
      </c>
      <c r="E31" s="31" t="s">
        <v>131</v>
      </c>
      <c r="F31" s="31" t="s">
        <v>152</v>
      </c>
      <c r="G31" s="31" t="s">
        <v>164</v>
      </c>
      <c r="H31" s="7">
        <v>3.55</v>
      </c>
      <c r="I31" s="33" t="s">
        <v>89</v>
      </c>
      <c r="J31" s="35">
        <v>3.2</v>
      </c>
      <c r="K31" s="35">
        <v>0</v>
      </c>
      <c r="L31" s="25">
        <f t="shared" si="0"/>
        <v>-3.2</v>
      </c>
      <c r="M31" s="19">
        <f>SUM(L4:L31)</f>
        <v>-11.825000000000003</v>
      </c>
      <c r="N31">
        <v>28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>
      <c r="A32" s="2">
        <v>29</v>
      </c>
      <c r="B32" s="28"/>
      <c r="C32" s="31" t="s">
        <v>62</v>
      </c>
      <c r="D32" s="31" t="s">
        <v>10</v>
      </c>
      <c r="E32" s="31" t="s">
        <v>153</v>
      </c>
      <c r="F32" s="31" t="s">
        <v>154</v>
      </c>
      <c r="G32" s="31" t="s">
        <v>155</v>
      </c>
      <c r="H32" s="7">
        <v>4.55</v>
      </c>
      <c r="I32" s="33" t="s">
        <v>119</v>
      </c>
      <c r="J32" s="35">
        <v>2.7</v>
      </c>
      <c r="K32" s="35">
        <v>0</v>
      </c>
      <c r="L32" s="25">
        <f t="shared" si="0"/>
        <v>-2.7</v>
      </c>
      <c r="M32" s="19">
        <f>SUM(L4:L32)</f>
        <v>-14.525000000000002</v>
      </c>
      <c r="N32">
        <v>29</v>
      </c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>
      <c r="A33" s="2">
        <v>30</v>
      </c>
      <c r="B33" s="28"/>
      <c r="C33" s="31" t="s">
        <v>62</v>
      </c>
      <c r="D33" s="31" t="s">
        <v>10</v>
      </c>
      <c r="E33" s="31" t="s">
        <v>75</v>
      </c>
      <c r="F33" s="31" t="s">
        <v>156</v>
      </c>
      <c r="G33" s="31" t="s">
        <v>157</v>
      </c>
      <c r="H33" s="7">
        <v>3.65</v>
      </c>
      <c r="I33" s="33" t="s">
        <v>92</v>
      </c>
      <c r="J33" s="35">
        <v>3.2</v>
      </c>
      <c r="K33" s="36">
        <v>11.68</v>
      </c>
      <c r="L33" s="25">
        <f t="shared" si="0"/>
        <v>8.48</v>
      </c>
      <c r="M33" s="19">
        <f>SUM(L4:L33)</f>
        <v>-6.0450000000000017</v>
      </c>
      <c r="N33">
        <v>30</v>
      </c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>
      <c r="A34" s="2">
        <v>31</v>
      </c>
      <c r="B34" s="28"/>
      <c r="C34" s="31" t="s">
        <v>62</v>
      </c>
      <c r="D34" s="31" t="s">
        <v>10</v>
      </c>
      <c r="E34" s="31" t="s">
        <v>88</v>
      </c>
      <c r="F34" s="31" t="s">
        <v>158</v>
      </c>
      <c r="G34" s="31" t="s">
        <v>159</v>
      </c>
      <c r="H34" s="34">
        <v>4.6500000000000004</v>
      </c>
      <c r="I34" s="33" t="s">
        <v>94</v>
      </c>
      <c r="J34" s="35">
        <v>2.7</v>
      </c>
      <c r="K34" s="35">
        <v>0</v>
      </c>
      <c r="L34" s="25">
        <f t="shared" si="0"/>
        <v>-2.7</v>
      </c>
      <c r="M34" s="19">
        <f>SUM(L4:L34)</f>
        <v>-8.745000000000001</v>
      </c>
      <c r="N34">
        <v>31</v>
      </c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>
      <c r="A35" s="2">
        <v>32</v>
      </c>
      <c r="B35" s="28"/>
      <c r="C35" s="31" t="s">
        <v>62</v>
      </c>
      <c r="D35" s="31" t="s">
        <v>10</v>
      </c>
      <c r="E35" s="31" t="s">
        <v>81</v>
      </c>
      <c r="F35" s="31" t="s">
        <v>96</v>
      </c>
      <c r="G35" s="31" t="s">
        <v>84</v>
      </c>
      <c r="H35" s="7">
        <v>3.9</v>
      </c>
      <c r="I35" s="33" t="s">
        <v>137</v>
      </c>
      <c r="J35" s="35">
        <v>2.8</v>
      </c>
      <c r="K35" s="49">
        <v>2.8</v>
      </c>
      <c r="L35" s="25">
        <f t="shared" si="0"/>
        <v>0</v>
      </c>
      <c r="M35" s="19">
        <f>SUM(L4:L35)</f>
        <v>-8.745000000000001</v>
      </c>
      <c r="N35">
        <v>32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>
      <c r="A36" s="2">
        <v>33</v>
      </c>
      <c r="B36" s="28"/>
      <c r="C36" s="31" t="s">
        <v>62</v>
      </c>
      <c r="D36" s="31" t="s">
        <v>10</v>
      </c>
      <c r="E36" s="31" t="s">
        <v>81</v>
      </c>
      <c r="F36" s="31" t="s">
        <v>85</v>
      </c>
      <c r="G36" s="31" t="s">
        <v>160</v>
      </c>
      <c r="H36" s="7">
        <v>3.9</v>
      </c>
      <c r="I36" s="33" t="s">
        <v>89</v>
      </c>
      <c r="J36" s="35">
        <v>2.8</v>
      </c>
      <c r="K36" s="35">
        <v>0</v>
      </c>
      <c r="L36" s="25">
        <f t="shared" si="0"/>
        <v>-2.8</v>
      </c>
      <c r="M36" s="19">
        <f>SUM(L4:L36)</f>
        <v>-11.545000000000002</v>
      </c>
      <c r="N36">
        <v>33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>
      <c r="A37" s="2">
        <v>34</v>
      </c>
      <c r="B37" s="28"/>
      <c r="C37" s="31" t="s">
        <v>62</v>
      </c>
      <c r="D37" s="31" t="s">
        <v>10</v>
      </c>
      <c r="E37" s="31" t="s">
        <v>81</v>
      </c>
      <c r="F37" s="31" t="s">
        <v>83</v>
      </c>
      <c r="G37" s="31" t="s">
        <v>161</v>
      </c>
      <c r="H37" s="7">
        <v>4.05</v>
      </c>
      <c r="I37" s="33" t="s">
        <v>165</v>
      </c>
      <c r="J37" s="35">
        <v>2.8</v>
      </c>
      <c r="K37" s="36">
        <v>11.34</v>
      </c>
      <c r="L37" s="25">
        <f t="shared" si="0"/>
        <v>8.5399999999999991</v>
      </c>
      <c r="M37" s="19">
        <f>SUM(L4:L37)</f>
        <v>-3.0050000000000026</v>
      </c>
      <c r="N37">
        <v>34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>
      <c r="A38" s="2">
        <v>35</v>
      </c>
      <c r="B38" s="28"/>
      <c r="C38" s="31" t="s">
        <v>62</v>
      </c>
      <c r="D38" s="31" t="s">
        <v>10</v>
      </c>
      <c r="E38" s="31" t="s">
        <v>80</v>
      </c>
      <c r="F38" s="31" t="s">
        <v>79</v>
      </c>
      <c r="G38" s="31" t="s">
        <v>162</v>
      </c>
      <c r="H38" s="34">
        <v>4.1500000000000004</v>
      </c>
      <c r="I38" s="33" t="s">
        <v>166</v>
      </c>
      <c r="J38" s="34">
        <v>2.8</v>
      </c>
      <c r="K38" s="35">
        <v>0</v>
      </c>
      <c r="L38" s="25">
        <f t="shared" si="0"/>
        <v>-2.8</v>
      </c>
      <c r="M38" s="19">
        <f>SUM(L4:L38)</f>
        <v>-5.8050000000000024</v>
      </c>
      <c r="N38">
        <v>35</v>
      </c>
    </row>
    <row r="39" spans="1:25">
      <c r="A39" s="2">
        <v>36</v>
      </c>
      <c r="B39" s="28"/>
      <c r="C39" s="31" t="s">
        <v>116</v>
      </c>
      <c r="D39" s="31" t="s">
        <v>10</v>
      </c>
      <c r="E39" s="31" t="s">
        <v>167</v>
      </c>
      <c r="F39" s="31" t="s">
        <v>168</v>
      </c>
      <c r="G39" s="31" t="s">
        <v>169</v>
      </c>
      <c r="H39" s="34">
        <v>3.1</v>
      </c>
      <c r="I39" s="33" t="s">
        <v>137</v>
      </c>
      <c r="J39" s="34">
        <v>3.5</v>
      </c>
      <c r="K39" s="50">
        <v>3.5</v>
      </c>
      <c r="L39" s="25">
        <f t="shared" si="0"/>
        <v>0</v>
      </c>
      <c r="M39" s="19">
        <f>SUM(L4:L39)</f>
        <v>-5.8050000000000024</v>
      </c>
      <c r="N39">
        <v>36</v>
      </c>
    </row>
    <row r="40" spans="1:25">
      <c r="A40" s="2">
        <v>37</v>
      </c>
      <c r="B40" s="28"/>
      <c r="C40" s="31" t="s">
        <v>116</v>
      </c>
      <c r="D40" s="31" t="s">
        <v>10</v>
      </c>
      <c r="E40" s="31" t="s">
        <v>72</v>
      </c>
      <c r="F40" s="31" t="s">
        <v>170</v>
      </c>
      <c r="G40" s="31" t="s">
        <v>171</v>
      </c>
      <c r="H40" s="34">
        <v>4.25</v>
      </c>
      <c r="I40" s="33" t="s">
        <v>91</v>
      </c>
      <c r="J40" s="34">
        <v>2.8</v>
      </c>
      <c r="K40" s="34">
        <v>0</v>
      </c>
      <c r="L40" s="25">
        <f t="shared" si="0"/>
        <v>-2.8</v>
      </c>
      <c r="M40" s="19">
        <f>SUM(L4:L40)</f>
        <v>-8.6050000000000022</v>
      </c>
      <c r="N40">
        <v>37</v>
      </c>
    </row>
    <row r="41" spans="1:25">
      <c r="A41" s="2">
        <v>38</v>
      </c>
      <c r="B41" s="28">
        <v>41352</v>
      </c>
      <c r="C41" s="31" t="s">
        <v>116</v>
      </c>
      <c r="D41" s="31" t="s">
        <v>10</v>
      </c>
      <c r="E41" s="31" t="s">
        <v>172</v>
      </c>
      <c r="F41" s="31" t="s">
        <v>173</v>
      </c>
      <c r="G41" s="31" t="s">
        <v>174</v>
      </c>
      <c r="H41" s="34">
        <v>4.45</v>
      </c>
      <c r="I41" s="33" t="s">
        <v>166</v>
      </c>
      <c r="J41" s="34">
        <v>2.7</v>
      </c>
      <c r="K41" s="34">
        <v>0</v>
      </c>
      <c r="L41" s="25">
        <f t="shared" si="0"/>
        <v>-2.7</v>
      </c>
      <c r="M41" s="19">
        <f>SUM(L4:L41)</f>
        <v>-11.305000000000003</v>
      </c>
      <c r="N41">
        <v>38</v>
      </c>
    </row>
    <row r="42" spans="1:25">
      <c r="A42" s="2">
        <v>39</v>
      </c>
      <c r="B42" s="28">
        <v>41352</v>
      </c>
      <c r="C42" s="31" t="s">
        <v>116</v>
      </c>
      <c r="D42" s="31" t="s">
        <v>10</v>
      </c>
      <c r="E42" s="31" t="s">
        <v>172</v>
      </c>
      <c r="F42" s="31" t="s">
        <v>175</v>
      </c>
      <c r="G42" s="31" t="s">
        <v>176</v>
      </c>
      <c r="H42" s="34">
        <v>4.05</v>
      </c>
      <c r="I42" s="33" t="s">
        <v>163</v>
      </c>
      <c r="J42" s="34">
        <v>2.8</v>
      </c>
      <c r="K42" s="34">
        <v>0</v>
      </c>
      <c r="L42" s="25">
        <f t="shared" si="0"/>
        <v>-2.8</v>
      </c>
      <c r="M42" s="19">
        <f>SUM(L4:L42)</f>
        <v>-14.105000000000004</v>
      </c>
      <c r="N42">
        <v>39</v>
      </c>
    </row>
    <row r="43" spans="1:25">
      <c r="A43" s="2">
        <v>40</v>
      </c>
      <c r="B43" s="28">
        <v>41356</v>
      </c>
      <c r="C43" s="31" t="s">
        <v>62</v>
      </c>
      <c r="D43" s="31" t="s">
        <v>10</v>
      </c>
      <c r="E43" s="31" t="s">
        <v>153</v>
      </c>
      <c r="F43" s="31" t="s">
        <v>177</v>
      </c>
      <c r="G43" s="31" t="s">
        <v>178</v>
      </c>
      <c r="H43" s="34">
        <v>4.8499999999999996</v>
      </c>
      <c r="I43" s="33" t="s">
        <v>137</v>
      </c>
      <c r="J43" s="34">
        <v>2.5</v>
      </c>
      <c r="K43" s="50">
        <v>2.5</v>
      </c>
      <c r="L43" s="25">
        <f t="shared" si="0"/>
        <v>0</v>
      </c>
      <c r="M43" s="19">
        <f>SUM(L4:L43)</f>
        <v>-14.105000000000004</v>
      </c>
      <c r="N43">
        <v>40</v>
      </c>
    </row>
    <row r="44" spans="1:25">
      <c r="A44" s="2">
        <v>41</v>
      </c>
      <c r="B44" s="28">
        <v>41356</v>
      </c>
      <c r="C44" s="31" t="s">
        <v>116</v>
      </c>
      <c r="D44" s="31" t="s">
        <v>10</v>
      </c>
      <c r="E44" s="31" t="s">
        <v>179</v>
      </c>
      <c r="F44" s="31" t="s">
        <v>180</v>
      </c>
      <c r="G44" s="31" t="s">
        <v>181</v>
      </c>
      <c r="H44" s="34">
        <v>3.9</v>
      </c>
      <c r="I44" s="33" t="s">
        <v>90</v>
      </c>
      <c r="J44" s="34">
        <v>2.8</v>
      </c>
      <c r="K44" s="34">
        <v>0</v>
      </c>
      <c r="L44" s="25">
        <f t="shared" si="0"/>
        <v>-2.8</v>
      </c>
      <c r="M44" s="19">
        <f>SUM(L4:L44)</f>
        <v>-16.905000000000005</v>
      </c>
      <c r="N44">
        <v>41</v>
      </c>
    </row>
    <row r="45" spans="1:25">
      <c r="A45" s="2">
        <v>42</v>
      </c>
      <c r="B45" s="28">
        <v>41356</v>
      </c>
      <c r="C45" s="31" t="s">
        <v>182</v>
      </c>
      <c r="D45" s="31" t="s">
        <v>10</v>
      </c>
      <c r="E45" s="31" t="s">
        <v>75</v>
      </c>
      <c r="F45" s="31" t="s">
        <v>183</v>
      </c>
      <c r="G45" s="31" t="s">
        <v>184</v>
      </c>
      <c r="H45" s="34">
        <v>3.15</v>
      </c>
      <c r="I45" s="33" t="s">
        <v>137</v>
      </c>
      <c r="J45" s="34">
        <v>3.5</v>
      </c>
      <c r="K45" s="50">
        <v>3.5</v>
      </c>
      <c r="L45" s="25">
        <f t="shared" si="0"/>
        <v>0</v>
      </c>
      <c r="M45" s="19">
        <f>SUM(L4:L45)</f>
        <v>-16.905000000000005</v>
      </c>
      <c r="N45">
        <v>42</v>
      </c>
    </row>
    <row r="46" spans="1:25">
      <c r="A46" s="2">
        <v>43</v>
      </c>
      <c r="B46" s="28">
        <v>41356</v>
      </c>
      <c r="C46" s="31" t="s">
        <v>182</v>
      </c>
      <c r="D46" s="31" t="s">
        <v>10</v>
      </c>
      <c r="E46" s="31" t="s">
        <v>75</v>
      </c>
      <c r="F46" s="31" t="s">
        <v>185</v>
      </c>
      <c r="G46" s="31" t="s">
        <v>186</v>
      </c>
      <c r="H46" s="34">
        <v>3.8</v>
      </c>
      <c r="I46" s="33" t="s">
        <v>137</v>
      </c>
      <c r="J46" s="34">
        <v>2.8</v>
      </c>
      <c r="K46" s="50">
        <v>2.8</v>
      </c>
      <c r="L46" s="25">
        <f t="shared" si="0"/>
        <v>0</v>
      </c>
      <c r="M46" s="19">
        <f>SUM(L4:L46)</f>
        <v>-16.905000000000005</v>
      </c>
      <c r="N46">
        <v>43</v>
      </c>
    </row>
    <row r="47" spans="1:25">
      <c r="A47" s="2">
        <v>44</v>
      </c>
      <c r="B47" s="28">
        <v>41356</v>
      </c>
      <c r="C47" s="31" t="s">
        <v>62</v>
      </c>
      <c r="D47" s="31" t="s">
        <v>10</v>
      </c>
      <c r="E47" s="31" t="s">
        <v>81</v>
      </c>
      <c r="F47" s="31" t="s">
        <v>96</v>
      </c>
      <c r="G47" s="31" t="s">
        <v>83</v>
      </c>
      <c r="H47" s="34">
        <v>3.7</v>
      </c>
      <c r="I47" s="33" t="s">
        <v>137</v>
      </c>
      <c r="J47" s="34">
        <v>2.8</v>
      </c>
      <c r="K47" s="49">
        <v>2.8</v>
      </c>
      <c r="L47" s="25">
        <f t="shared" si="0"/>
        <v>0</v>
      </c>
      <c r="M47" s="19">
        <f>SUM(L4:L47)</f>
        <v>-16.905000000000005</v>
      </c>
      <c r="N47">
        <v>44</v>
      </c>
    </row>
    <row r="48" spans="1:25">
      <c r="A48" s="2">
        <v>45</v>
      </c>
      <c r="B48" s="28">
        <v>41356</v>
      </c>
      <c r="C48" s="31" t="s">
        <v>62</v>
      </c>
      <c r="D48" s="31" t="s">
        <v>10</v>
      </c>
      <c r="E48" s="31" t="s">
        <v>81</v>
      </c>
      <c r="F48" s="31" t="s">
        <v>82</v>
      </c>
      <c r="G48" s="31" t="s">
        <v>187</v>
      </c>
      <c r="H48" s="34">
        <v>3.8</v>
      </c>
      <c r="I48" s="33" t="s">
        <v>195</v>
      </c>
      <c r="J48" s="34">
        <v>2.8</v>
      </c>
      <c r="K48" s="35">
        <v>0</v>
      </c>
      <c r="L48" s="25">
        <f t="shared" si="0"/>
        <v>-2.8</v>
      </c>
      <c r="M48" s="19">
        <f>SUM(L4:L48)</f>
        <v>-19.705000000000005</v>
      </c>
      <c r="N48">
        <v>45</v>
      </c>
    </row>
    <row r="49" spans="1:14">
      <c r="A49" s="2">
        <v>46</v>
      </c>
      <c r="B49" s="28">
        <v>41357</v>
      </c>
      <c r="C49" s="31" t="s">
        <v>98</v>
      </c>
      <c r="D49" s="31" t="s">
        <v>10</v>
      </c>
      <c r="E49" s="31" t="s">
        <v>188</v>
      </c>
      <c r="F49" s="31" t="s">
        <v>189</v>
      </c>
      <c r="G49" s="31" t="s">
        <v>190</v>
      </c>
      <c r="H49" s="34">
        <v>3.65</v>
      </c>
      <c r="I49" s="33" t="s">
        <v>137</v>
      </c>
      <c r="J49" s="34">
        <v>3.2</v>
      </c>
      <c r="K49" s="49">
        <v>3.2</v>
      </c>
      <c r="L49" s="25">
        <f t="shared" si="0"/>
        <v>0</v>
      </c>
      <c r="M49" s="19">
        <f>SUM(L4:L49)</f>
        <v>-19.705000000000005</v>
      </c>
      <c r="N49">
        <v>46</v>
      </c>
    </row>
    <row r="50" spans="1:14">
      <c r="A50" s="2">
        <v>47</v>
      </c>
      <c r="B50" s="28">
        <v>41357</v>
      </c>
      <c r="C50" s="31" t="s">
        <v>182</v>
      </c>
      <c r="D50" s="31" t="s">
        <v>10</v>
      </c>
      <c r="E50" s="31" t="s">
        <v>75</v>
      </c>
      <c r="F50" s="31" t="s">
        <v>191</v>
      </c>
      <c r="G50" s="31" t="s">
        <v>192</v>
      </c>
      <c r="H50" s="7">
        <v>2.9</v>
      </c>
      <c r="I50" s="33" t="s">
        <v>166</v>
      </c>
      <c r="J50" s="34">
        <v>3.5</v>
      </c>
      <c r="K50" s="35">
        <v>0</v>
      </c>
      <c r="L50" s="25">
        <f t="shared" si="0"/>
        <v>-3.5</v>
      </c>
      <c r="M50" s="19">
        <f>SUM(L4:L50)</f>
        <v>-23.205000000000005</v>
      </c>
      <c r="N50">
        <v>47</v>
      </c>
    </row>
    <row r="51" spans="1:14">
      <c r="A51" s="2">
        <v>48</v>
      </c>
      <c r="B51" s="28">
        <v>41357</v>
      </c>
      <c r="C51" s="31" t="s">
        <v>116</v>
      </c>
      <c r="D51" s="31" t="s">
        <v>10</v>
      </c>
      <c r="E51" s="31" t="s">
        <v>172</v>
      </c>
      <c r="F51" s="31" t="s">
        <v>193</v>
      </c>
      <c r="G51" s="31" t="s">
        <v>194</v>
      </c>
      <c r="H51" s="34">
        <v>3</v>
      </c>
      <c r="I51" s="33" t="s">
        <v>91</v>
      </c>
      <c r="J51" s="34">
        <v>3.5</v>
      </c>
      <c r="K51" s="35">
        <v>0</v>
      </c>
      <c r="L51" s="25">
        <f>K51-J51</f>
        <v>-3.5</v>
      </c>
      <c r="M51" s="19">
        <f>SUM(L4:L51)</f>
        <v>-26.705000000000005</v>
      </c>
      <c r="N51">
        <v>48</v>
      </c>
    </row>
    <row r="52" spans="1:14">
      <c r="A52" s="2">
        <v>49</v>
      </c>
      <c r="B52" s="28">
        <v>41360</v>
      </c>
      <c r="C52" s="31" t="s">
        <v>62</v>
      </c>
      <c r="D52" s="31" t="s">
        <v>10</v>
      </c>
      <c r="E52" s="31" t="s">
        <v>81</v>
      </c>
      <c r="F52" s="31" t="s">
        <v>82</v>
      </c>
      <c r="G52" s="31" t="s">
        <v>160</v>
      </c>
      <c r="H52" s="34">
        <v>4.05</v>
      </c>
      <c r="I52" s="33" t="s">
        <v>196</v>
      </c>
      <c r="J52" s="34">
        <v>3</v>
      </c>
      <c r="K52" s="36">
        <v>12.15</v>
      </c>
      <c r="L52" s="25">
        <f t="shared" si="0"/>
        <v>9.15</v>
      </c>
      <c r="M52" s="19">
        <f>SUM(L4:L52)</f>
        <v>-17.555000000000007</v>
      </c>
      <c r="N52">
        <v>49</v>
      </c>
    </row>
    <row r="53" spans="1:14">
      <c r="A53" s="2">
        <v>50</v>
      </c>
      <c r="B53" s="28">
        <v>41361</v>
      </c>
      <c r="C53" s="31" t="s">
        <v>116</v>
      </c>
      <c r="D53" s="31" t="s">
        <v>10</v>
      </c>
      <c r="E53" s="31" t="s">
        <v>172</v>
      </c>
      <c r="F53" s="31" t="s">
        <v>175</v>
      </c>
      <c r="G53" s="31" t="s">
        <v>174</v>
      </c>
      <c r="H53" s="34">
        <v>4.25</v>
      </c>
      <c r="I53" s="33" t="s">
        <v>93</v>
      </c>
      <c r="J53" s="34">
        <v>2.8</v>
      </c>
      <c r="K53" s="35">
        <v>0</v>
      </c>
      <c r="L53" s="25">
        <f t="shared" si="0"/>
        <v>-2.8</v>
      </c>
      <c r="M53" s="19">
        <f>SUM(L4:L53)</f>
        <v>-20.355000000000008</v>
      </c>
      <c r="N53">
        <v>50</v>
      </c>
    </row>
    <row r="54" spans="1:14">
      <c r="A54" s="2">
        <v>51</v>
      </c>
      <c r="B54" s="28">
        <v>41362</v>
      </c>
      <c r="C54" s="31" t="s">
        <v>197</v>
      </c>
      <c r="D54" s="31" t="s">
        <v>10</v>
      </c>
      <c r="E54" s="31" t="s">
        <v>141</v>
      </c>
      <c r="F54" s="31" t="s">
        <v>198</v>
      </c>
      <c r="G54" s="31" t="s">
        <v>199</v>
      </c>
      <c r="H54" s="34">
        <v>3.2</v>
      </c>
      <c r="I54" s="33" t="s">
        <v>204</v>
      </c>
      <c r="J54" s="34">
        <v>3.4</v>
      </c>
      <c r="K54" s="36">
        <v>10.88</v>
      </c>
      <c r="L54" s="25">
        <f t="shared" si="0"/>
        <v>7.48</v>
      </c>
      <c r="M54" s="19">
        <f>SUM(L4:L54)</f>
        <v>-12.875000000000007</v>
      </c>
      <c r="N54">
        <v>51</v>
      </c>
    </row>
    <row r="55" spans="1:14">
      <c r="A55" s="2">
        <v>52</v>
      </c>
      <c r="B55" s="28">
        <v>41362</v>
      </c>
      <c r="C55" s="31" t="s">
        <v>98</v>
      </c>
      <c r="D55" s="31" t="s">
        <v>10</v>
      </c>
      <c r="E55" s="31" t="s">
        <v>200</v>
      </c>
      <c r="F55" s="31" t="s">
        <v>201</v>
      </c>
      <c r="G55" s="31" t="s">
        <v>202</v>
      </c>
      <c r="H55" s="34">
        <v>3.3</v>
      </c>
      <c r="I55" s="33" t="s">
        <v>90</v>
      </c>
      <c r="J55" s="34">
        <v>3.4</v>
      </c>
      <c r="K55" s="36">
        <v>11.22</v>
      </c>
      <c r="L55" s="25">
        <f t="shared" si="0"/>
        <v>7.82</v>
      </c>
      <c r="M55" s="19">
        <f>SUM(L4:L55)</f>
        <v>-5.0550000000000068</v>
      </c>
      <c r="N55">
        <v>52</v>
      </c>
    </row>
    <row r="56" spans="1:14">
      <c r="A56" s="2">
        <v>53</v>
      </c>
      <c r="B56" s="28">
        <v>41362</v>
      </c>
      <c r="C56" s="31" t="s">
        <v>62</v>
      </c>
      <c r="D56" s="31" t="s">
        <v>10</v>
      </c>
      <c r="E56" s="31" t="s">
        <v>75</v>
      </c>
      <c r="F56" s="31" t="s">
        <v>203</v>
      </c>
      <c r="G56" s="31" t="s">
        <v>185</v>
      </c>
      <c r="H56" s="34">
        <v>3.1</v>
      </c>
      <c r="I56" s="33" t="s">
        <v>205</v>
      </c>
      <c r="J56" s="34">
        <v>3.5</v>
      </c>
      <c r="K56" s="36">
        <v>10.88</v>
      </c>
      <c r="L56" s="25">
        <f t="shared" si="0"/>
        <v>7.3800000000000008</v>
      </c>
      <c r="M56" s="19">
        <f>SUM(L4:L56)</f>
        <v>2.324999999999994</v>
      </c>
      <c r="N56">
        <v>53</v>
      </c>
    </row>
    <row r="57" spans="1:14">
      <c r="A57" s="2">
        <v>54</v>
      </c>
      <c r="B57" s="28">
        <v>41363</v>
      </c>
      <c r="C57" s="31" t="s">
        <v>208</v>
      </c>
      <c r="D57" s="31" t="s">
        <v>10</v>
      </c>
      <c r="E57" s="31" t="s">
        <v>148</v>
      </c>
      <c r="F57" s="31" t="s">
        <v>150</v>
      </c>
      <c r="G57" s="31" t="s">
        <v>206</v>
      </c>
      <c r="H57" s="34">
        <v>6.5</v>
      </c>
      <c r="I57" s="33" t="s">
        <v>205</v>
      </c>
      <c r="J57" s="34">
        <v>2.1</v>
      </c>
      <c r="K57" s="35">
        <v>0</v>
      </c>
      <c r="L57" s="25">
        <f t="shared" si="0"/>
        <v>-2.1</v>
      </c>
      <c r="M57" s="19">
        <f>SUM(L4:L57)</f>
        <v>0.22499999999999387</v>
      </c>
      <c r="N57">
        <v>54</v>
      </c>
    </row>
    <row r="58" spans="1:14">
      <c r="A58" s="2">
        <v>55</v>
      </c>
      <c r="B58" s="28">
        <v>41363</v>
      </c>
      <c r="C58" s="31" t="s">
        <v>197</v>
      </c>
      <c r="D58" s="31" t="s">
        <v>10</v>
      </c>
      <c r="E58" s="31" t="s">
        <v>148</v>
      </c>
      <c r="F58" s="31" t="s">
        <v>149</v>
      </c>
      <c r="G58" s="31" t="s">
        <v>207</v>
      </c>
      <c r="H58" s="34">
        <v>3.2</v>
      </c>
      <c r="I58" s="33" t="s">
        <v>87</v>
      </c>
      <c r="J58" s="34">
        <v>3.4</v>
      </c>
      <c r="K58" s="35">
        <v>0</v>
      </c>
      <c r="L58" s="25">
        <f t="shared" si="0"/>
        <v>-3.4</v>
      </c>
      <c r="M58" s="19">
        <f>SUM(L4:L58)</f>
        <v>-3.175000000000006</v>
      </c>
      <c r="N58">
        <v>55</v>
      </c>
    </row>
    <row r="59" spans="1:14">
      <c r="A59" s="2">
        <v>56</v>
      </c>
      <c r="B59" s="28">
        <v>41363</v>
      </c>
      <c r="C59" s="31" t="s">
        <v>197</v>
      </c>
      <c r="D59" s="31" t="s">
        <v>10</v>
      </c>
      <c r="E59" s="31" t="s">
        <v>66</v>
      </c>
      <c r="F59" s="31" t="s">
        <v>209</v>
      </c>
      <c r="G59" s="31" t="s">
        <v>68</v>
      </c>
      <c r="H59" s="34">
        <v>3.15</v>
      </c>
      <c r="I59" s="33" t="s">
        <v>91</v>
      </c>
      <c r="J59" s="34">
        <v>3.5</v>
      </c>
      <c r="K59" s="35">
        <v>0</v>
      </c>
      <c r="L59" s="25">
        <f t="shared" si="0"/>
        <v>-3.5</v>
      </c>
      <c r="M59" s="19">
        <f>SUM(L4:L59)</f>
        <v>-6.675000000000006</v>
      </c>
      <c r="N59">
        <v>56</v>
      </c>
    </row>
    <row r="60" spans="1:14">
      <c r="A60" s="2">
        <v>57</v>
      </c>
      <c r="B60" s="28">
        <v>41363</v>
      </c>
      <c r="C60" s="31" t="s">
        <v>208</v>
      </c>
      <c r="D60" s="31" t="s">
        <v>10</v>
      </c>
      <c r="E60" s="31" t="s">
        <v>99</v>
      </c>
      <c r="F60" s="31" t="s">
        <v>102</v>
      </c>
      <c r="G60" s="31" t="s">
        <v>210</v>
      </c>
      <c r="H60" s="34">
        <v>3</v>
      </c>
      <c r="I60" s="33" t="s">
        <v>195</v>
      </c>
      <c r="J60" s="34">
        <v>3.5</v>
      </c>
      <c r="K60" s="35">
        <v>0</v>
      </c>
      <c r="L60" s="25">
        <f t="shared" si="0"/>
        <v>-3.5</v>
      </c>
      <c r="M60" s="19">
        <f>SUM(L4:L60)</f>
        <v>-10.175000000000006</v>
      </c>
      <c r="N60">
        <v>57</v>
      </c>
    </row>
    <row r="61" spans="1:14">
      <c r="A61" s="2">
        <v>58</v>
      </c>
      <c r="B61" s="28">
        <v>41363</v>
      </c>
      <c r="C61" s="31" t="s">
        <v>197</v>
      </c>
      <c r="D61" s="31" t="s">
        <v>10</v>
      </c>
      <c r="E61" s="31" t="s">
        <v>72</v>
      </c>
      <c r="F61" s="31" t="s">
        <v>224</v>
      </c>
      <c r="G61" s="31" t="s">
        <v>225</v>
      </c>
      <c r="H61" s="34">
        <v>4.5</v>
      </c>
      <c r="I61" s="33" t="s">
        <v>94</v>
      </c>
      <c r="J61" s="34">
        <v>2.7</v>
      </c>
      <c r="K61" s="35">
        <v>0</v>
      </c>
      <c r="L61" s="25">
        <f t="shared" si="0"/>
        <v>-2.7</v>
      </c>
      <c r="M61" s="19">
        <f>SUM(L4:L61)</f>
        <v>-12.875000000000007</v>
      </c>
      <c r="N61">
        <v>58</v>
      </c>
    </row>
    <row r="62" spans="1:14">
      <c r="A62" s="2">
        <v>59</v>
      </c>
      <c r="B62" s="28">
        <v>41363</v>
      </c>
      <c r="C62" s="31" t="s">
        <v>197</v>
      </c>
      <c r="D62" s="31" t="s">
        <v>10</v>
      </c>
      <c r="E62" s="31" t="s">
        <v>179</v>
      </c>
      <c r="F62" s="31" t="s">
        <v>211</v>
      </c>
      <c r="G62" s="31" t="s">
        <v>212</v>
      </c>
      <c r="H62" s="7">
        <v>3.9</v>
      </c>
      <c r="I62" s="33" t="s">
        <v>94</v>
      </c>
      <c r="J62" s="34">
        <v>3</v>
      </c>
      <c r="K62" s="35">
        <v>0</v>
      </c>
      <c r="L62" s="25">
        <f t="shared" si="0"/>
        <v>-3</v>
      </c>
      <c r="M62" s="19">
        <f>SUM(L4:L62)</f>
        <v>-15.875000000000007</v>
      </c>
      <c r="N62">
        <v>59</v>
      </c>
    </row>
    <row r="63" spans="1:14">
      <c r="A63" s="2">
        <v>60</v>
      </c>
      <c r="B63" s="28">
        <v>41363</v>
      </c>
      <c r="C63" s="31" t="s">
        <v>214</v>
      </c>
      <c r="D63" s="31" t="s">
        <v>10</v>
      </c>
      <c r="E63" s="31" t="s">
        <v>75</v>
      </c>
      <c r="F63" s="31" t="s">
        <v>156</v>
      </c>
      <c r="G63" s="31" t="s">
        <v>213</v>
      </c>
      <c r="H63" s="7">
        <v>4.05</v>
      </c>
      <c r="I63" s="33" t="s">
        <v>94</v>
      </c>
      <c r="J63" s="34">
        <v>3</v>
      </c>
      <c r="K63" s="35">
        <v>0</v>
      </c>
      <c r="L63" s="25">
        <f t="shared" si="0"/>
        <v>-3</v>
      </c>
      <c r="M63" s="19">
        <f>SUM(L4:L63)</f>
        <v>-18.875000000000007</v>
      </c>
      <c r="N63">
        <v>60</v>
      </c>
    </row>
    <row r="64" spans="1:14">
      <c r="A64" s="2">
        <v>61</v>
      </c>
      <c r="B64" s="28">
        <v>41363</v>
      </c>
      <c r="C64" s="31" t="s">
        <v>214</v>
      </c>
      <c r="D64" s="31" t="s">
        <v>10</v>
      </c>
      <c r="E64" s="31" t="s">
        <v>75</v>
      </c>
      <c r="F64" s="31" t="s">
        <v>215</v>
      </c>
      <c r="G64" s="31" t="s">
        <v>216</v>
      </c>
      <c r="H64" s="7">
        <v>3.95</v>
      </c>
      <c r="I64" s="33" t="s">
        <v>165</v>
      </c>
      <c r="J64" s="34">
        <v>3</v>
      </c>
      <c r="K64" s="36">
        <v>11.85</v>
      </c>
      <c r="L64" s="25">
        <f t="shared" si="0"/>
        <v>8.85</v>
      </c>
      <c r="M64" s="19">
        <f>SUM(L4:L64)</f>
        <v>-10.025000000000007</v>
      </c>
      <c r="N64">
        <v>61</v>
      </c>
    </row>
    <row r="65" spans="1:14">
      <c r="A65" s="2">
        <v>62</v>
      </c>
      <c r="B65" s="28">
        <v>41363</v>
      </c>
      <c r="C65" s="31" t="s">
        <v>214</v>
      </c>
      <c r="D65" s="31" t="s">
        <v>10</v>
      </c>
      <c r="E65" s="31" t="s">
        <v>81</v>
      </c>
      <c r="F65" s="31" t="s">
        <v>82</v>
      </c>
      <c r="G65" s="31" t="s">
        <v>160</v>
      </c>
      <c r="H65" s="7">
        <v>3.9</v>
      </c>
      <c r="I65" s="33" t="s">
        <v>87</v>
      </c>
      <c r="J65" s="34">
        <v>3</v>
      </c>
      <c r="K65" s="35">
        <v>0</v>
      </c>
      <c r="L65" s="25">
        <f t="shared" si="0"/>
        <v>-3</v>
      </c>
      <c r="M65" s="19">
        <f>SUM(L4:L65)</f>
        <v>-13.025000000000007</v>
      </c>
      <c r="N65">
        <v>62</v>
      </c>
    </row>
    <row r="66" spans="1:14">
      <c r="A66" s="2">
        <v>63</v>
      </c>
      <c r="B66" s="28">
        <v>41363</v>
      </c>
      <c r="C66" s="31" t="s">
        <v>214</v>
      </c>
      <c r="D66" s="31" t="s">
        <v>10</v>
      </c>
      <c r="E66" s="31" t="s">
        <v>81</v>
      </c>
      <c r="F66" s="31" t="s">
        <v>83</v>
      </c>
      <c r="G66" s="31" t="s">
        <v>85</v>
      </c>
      <c r="H66" s="7">
        <v>3.9</v>
      </c>
      <c r="I66" s="33" t="s">
        <v>223</v>
      </c>
      <c r="J66" s="34">
        <v>3</v>
      </c>
      <c r="K66" s="36">
        <v>11.7</v>
      </c>
      <c r="L66" s="25">
        <f t="shared" si="0"/>
        <v>8.6999999999999993</v>
      </c>
      <c r="M66" s="19">
        <f>SUM(L4:L66)</f>
        <v>-4.3250000000000082</v>
      </c>
      <c r="N66">
        <v>63</v>
      </c>
    </row>
    <row r="67" spans="1:14">
      <c r="A67" s="2">
        <v>64</v>
      </c>
      <c r="B67" s="28">
        <v>41365</v>
      </c>
      <c r="C67" s="31" t="s">
        <v>217</v>
      </c>
      <c r="D67" s="31" t="s">
        <v>10</v>
      </c>
      <c r="E67" s="31" t="s">
        <v>218</v>
      </c>
      <c r="F67" s="31" t="s">
        <v>219</v>
      </c>
      <c r="G67" s="31" t="s">
        <v>220</v>
      </c>
      <c r="H67" s="31">
        <v>5.3</v>
      </c>
      <c r="I67" s="39" t="s">
        <v>90</v>
      </c>
      <c r="J67" s="40">
        <v>2.4</v>
      </c>
      <c r="K67" s="41">
        <v>0</v>
      </c>
      <c r="L67" s="25">
        <f t="shared" si="0"/>
        <v>-2.4</v>
      </c>
      <c r="M67" s="19">
        <f>SUM(L4:L67)</f>
        <v>-6.7250000000000085</v>
      </c>
      <c r="N67">
        <v>64</v>
      </c>
    </row>
    <row r="68" spans="1:14">
      <c r="A68" s="2">
        <v>65</v>
      </c>
      <c r="B68" s="28">
        <v>41365</v>
      </c>
      <c r="C68" s="31" t="s">
        <v>217</v>
      </c>
      <c r="D68" s="31" t="s">
        <v>10</v>
      </c>
      <c r="E68" s="31" t="s">
        <v>218</v>
      </c>
      <c r="F68" s="31" t="s">
        <v>221</v>
      </c>
      <c r="G68" s="31" t="s">
        <v>222</v>
      </c>
      <c r="H68" s="31">
        <v>4.55</v>
      </c>
      <c r="I68" s="39" t="s">
        <v>119</v>
      </c>
      <c r="J68" s="40">
        <v>2.7</v>
      </c>
      <c r="K68" s="41">
        <v>0</v>
      </c>
      <c r="L68" s="25">
        <f t="shared" si="0"/>
        <v>-2.7</v>
      </c>
      <c r="M68" s="19">
        <f>SUM(L4:L68)</f>
        <v>-9.4250000000000078</v>
      </c>
      <c r="N68">
        <v>65</v>
      </c>
    </row>
    <row r="69" spans="1:14">
      <c r="A69" s="2">
        <v>66</v>
      </c>
      <c r="B69" s="28">
        <v>41366</v>
      </c>
      <c r="C69" s="31" t="s">
        <v>214</v>
      </c>
      <c r="D69" s="31" t="s">
        <v>10</v>
      </c>
      <c r="E69" s="31" t="s">
        <v>81</v>
      </c>
      <c r="F69" s="31" t="s">
        <v>96</v>
      </c>
      <c r="G69" s="31" t="s">
        <v>83</v>
      </c>
      <c r="H69" s="31">
        <v>3.9</v>
      </c>
      <c r="I69" s="39" t="s">
        <v>195</v>
      </c>
      <c r="J69" s="40">
        <v>3</v>
      </c>
      <c r="K69" s="41">
        <v>0</v>
      </c>
      <c r="L69" s="25">
        <f t="shared" ref="L69:L132" si="1">K69-J69</f>
        <v>-3</v>
      </c>
      <c r="M69" s="19">
        <f>SUM(L4:L69)</f>
        <v>-12.425000000000008</v>
      </c>
      <c r="N69">
        <v>66</v>
      </c>
    </row>
    <row r="70" spans="1:14">
      <c r="A70" s="2">
        <v>67</v>
      </c>
      <c r="B70" s="28">
        <v>41367</v>
      </c>
      <c r="C70" s="31" t="s">
        <v>214</v>
      </c>
      <c r="D70" s="31" t="s">
        <v>10</v>
      </c>
      <c r="E70" s="31" t="s">
        <v>81</v>
      </c>
      <c r="F70" s="31" t="s">
        <v>85</v>
      </c>
      <c r="G70" s="31" t="s">
        <v>226</v>
      </c>
      <c r="H70" s="31">
        <v>4.8499999999999996</v>
      </c>
      <c r="I70" s="39" t="s">
        <v>119</v>
      </c>
      <c r="J70" s="40">
        <v>2.5</v>
      </c>
      <c r="K70" s="41">
        <v>0</v>
      </c>
      <c r="L70" s="25">
        <f t="shared" si="1"/>
        <v>-2.5</v>
      </c>
      <c r="M70" s="19">
        <f>SUM(L4:L70)</f>
        <v>-14.925000000000008</v>
      </c>
      <c r="N70">
        <v>67</v>
      </c>
    </row>
    <row r="71" spans="1:14">
      <c r="A71" s="2">
        <v>68</v>
      </c>
      <c r="B71" s="28">
        <v>41369</v>
      </c>
      <c r="C71" s="31" t="s">
        <v>214</v>
      </c>
      <c r="D71" s="31" t="s">
        <v>10</v>
      </c>
      <c r="E71" s="31" t="s">
        <v>63</v>
      </c>
      <c r="F71" s="31" t="s">
        <v>227</v>
      </c>
      <c r="G71" s="31" t="s">
        <v>228</v>
      </c>
      <c r="H71" s="40">
        <v>8.1</v>
      </c>
      <c r="I71" s="39" t="s">
        <v>93</v>
      </c>
      <c r="J71" s="40">
        <v>2.1</v>
      </c>
      <c r="K71" s="41">
        <v>0</v>
      </c>
      <c r="L71" s="25">
        <f t="shared" si="1"/>
        <v>-2.1</v>
      </c>
      <c r="M71" s="19">
        <f>SUM(L4:L71)</f>
        <v>-17.025000000000009</v>
      </c>
      <c r="N71">
        <v>68</v>
      </c>
    </row>
    <row r="72" spans="1:14">
      <c r="A72" s="2">
        <v>69</v>
      </c>
      <c r="B72" s="28">
        <v>41369</v>
      </c>
      <c r="C72" s="31" t="s">
        <v>197</v>
      </c>
      <c r="D72" s="31" t="s">
        <v>10</v>
      </c>
      <c r="E72" s="31" t="s">
        <v>229</v>
      </c>
      <c r="F72" s="31" t="s">
        <v>230</v>
      </c>
      <c r="G72" s="31" t="s">
        <v>231</v>
      </c>
      <c r="H72" s="40">
        <v>5.6</v>
      </c>
      <c r="I72" s="39" t="s">
        <v>90</v>
      </c>
      <c r="J72" s="40">
        <v>2.2999999999999998</v>
      </c>
      <c r="K72" s="41">
        <v>0</v>
      </c>
      <c r="L72" s="25">
        <f t="shared" si="1"/>
        <v>-2.2999999999999998</v>
      </c>
      <c r="M72" s="19">
        <f>SUM(L4:L72)</f>
        <v>-19.32500000000001</v>
      </c>
      <c r="N72">
        <v>69</v>
      </c>
    </row>
    <row r="73" spans="1:14">
      <c r="A73" s="2">
        <v>70</v>
      </c>
      <c r="B73" s="28">
        <v>41369</v>
      </c>
      <c r="C73" s="31" t="s">
        <v>217</v>
      </c>
      <c r="D73" s="31" t="s">
        <v>10</v>
      </c>
      <c r="E73" s="31" t="s">
        <v>232</v>
      </c>
      <c r="F73" s="31" t="s">
        <v>233</v>
      </c>
      <c r="G73" s="31" t="s">
        <v>234</v>
      </c>
      <c r="H73" s="40">
        <v>6.6</v>
      </c>
      <c r="I73" s="39" t="s">
        <v>91</v>
      </c>
      <c r="J73" s="40">
        <v>2.1</v>
      </c>
      <c r="K73" s="41">
        <v>0</v>
      </c>
      <c r="L73" s="25">
        <f t="shared" si="1"/>
        <v>-2.1</v>
      </c>
      <c r="M73" s="19">
        <f>SUM(L4:L73)</f>
        <v>-21.425000000000011</v>
      </c>
      <c r="N73">
        <v>70</v>
      </c>
    </row>
    <row r="74" spans="1:14">
      <c r="A74" s="2">
        <v>71</v>
      </c>
      <c r="B74" s="28">
        <v>41369</v>
      </c>
      <c r="C74" s="31" t="s">
        <v>208</v>
      </c>
      <c r="D74" s="31" t="s">
        <v>10</v>
      </c>
      <c r="E74" s="31" t="s">
        <v>232</v>
      </c>
      <c r="F74" s="31" t="s">
        <v>233</v>
      </c>
      <c r="G74" s="31" t="s">
        <v>234</v>
      </c>
      <c r="H74" s="40">
        <v>4.05</v>
      </c>
      <c r="I74" s="39" t="s">
        <v>91</v>
      </c>
      <c r="J74" s="40">
        <v>3</v>
      </c>
      <c r="K74" s="41">
        <v>0</v>
      </c>
      <c r="L74" s="25">
        <f t="shared" si="1"/>
        <v>-3</v>
      </c>
      <c r="M74" s="19">
        <f>SUM(L4:L74)</f>
        <v>-24.425000000000011</v>
      </c>
      <c r="N74">
        <v>71</v>
      </c>
    </row>
    <row r="75" spans="1:14">
      <c r="A75" s="2">
        <v>72</v>
      </c>
      <c r="B75" s="28">
        <v>41369</v>
      </c>
      <c r="C75" s="31" t="s">
        <v>217</v>
      </c>
      <c r="D75" s="31" t="s">
        <v>10</v>
      </c>
      <c r="E75" s="31" t="s">
        <v>235</v>
      </c>
      <c r="F75" s="31" t="s">
        <v>236</v>
      </c>
      <c r="G75" s="31" t="s">
        <v>237</v>
      </c>
      <c r="H75" s="40">
        <v>6.3</v>
      </c>
      <c r="I75" s="39" t="s">
        <v>89</v>
      </c>
      <c r="J75" s="40">
        <v>2.2000000000000002</v>
      </c>
      <c r="K75" s="41">
        <v>0</v>
      </c>
      <c r="L75" s="25">
        <f t="shared" si="1"/>
        <v>-2.2000000000000002</v>
      </c>
      <c r="M75" s="19">
        <f>SUM(L4:L75)</f>
        <v>-26.625000000000011</v>
      </c>
      <c r="N75">
        <v>72</v>
      </c>
    </row>
    <row r="76" spans="1:14">
      <c r="A76" s="2">
        <v>73</v>
      </c>
      <c r="B76" s="28">
        <v>41369</v>
      </c>
      <c r="C76" s="31" t="s">
        <v>217</v>
      </c>
      <c r="D76" s="31" t="s">
        <v>10</v>
      </c>
      <c r="E76" s="31" t="s">
        <v>142</v>
      </c>
      <c r="F76" s="31" t="s">
        <v>143</v>
      </c>
      <c r="G76" s="31" t="s">
        <v>238</v>
      </c>
      <c r="H76" s="40">
        <v>6.5</v>
      </c>
      <c r="I76" s="39" t="s">
        <v>205</v>
      </c>
      <c r="J76" s="40">
        <v>2.1</v>
      </c>
      <c r="K76" s="41">
        <v>0</v>
      </c>
      <c r="L76" s="25">
        <f t="shared" si="1"/>
        <v>-2.1</v>
      </c>
      <c r="M76" s="19">
        <f>SUM(L4:L76)</f>
        <v>-28.725000000000012</v>
      </c>
      <c r="N76">
        <v>73</v>
      </c>
    </row>
    <row r="77" spans="1:14">
      <c r="A77" s="2">
        <v>74</v>
      </c>
      <c r="B77" s="28">
        <v>41370</v>
      </c>
      <c r="C77" s="31" t="s">
        <v>151</v>
      </c>
      <c r="D77" s="31" t="s">
        <v>10</v>
      </c>
      <c r="E77" s="31" t="s">
        <v>148</v>
      </c>
      <c r="F77" s="31" t="s">
        <v>239</v>
      </c>
      <c r="G77" s="31" t="s">
        <v>150</v>
      </c>
      <c r="H77" s="40">
        <v>4.0999999999999996</v>
      </c>
      <c r="I77" s="39" t="s">
        <v>87</v>
      </c>
      <c r="J77" s="40">
        <v>2.8</v>
      </c>
      <c r="K77" s="41">
        <v>0</v>
      </c>
      <c r="L77" s="25">
        <f t="shared" si="1"/>
        <v>-2.8</v>
      </c>
      <c r="M77" s="19">
        <f>SUM(L4:L77)</f>
        <v>-31.525000000000013</v>
      </c>
      <c r="N77">
        <v>74</v>
      </c>
    </row>
    <row r="78" spans="1:14">
      <c r="A78" s="2">
        <v>75</v>
      </c>
      <c r="B78" s="28">
        <v>41370</v>
      </c>
      <c r="C78" s="31" t="s">
        <v>151</v>
      </c>
      <c r="D78" s="31" t="s">
        <v>10</v>
      </c>
      <c r="E78" s="31" t="s">
        <v>240</v>
      </c>
      <c r="F78" s="31" t="s">
        <v>241</v>
      </c>
      <c r="G78" s="31" t="s">
        <v>242</v>
      </c>
      <c r="H78" s="40">
        <v>4.75</v>
      </c>
      <c r="I78" s="39" t="s">
        <v>90</v>
      </c>
      <c r="J78" s="40">
        <v>2.5</v>
      </c>
      <c r="K78" s="42">
        <v>11.88</v>
      </c>
      <c r="L78" s="25">
        <f t="shared" si="1"/>
        <v>9.3800000000000008</v>
      </c>
      <c r="M78" s="19">
        <f>SUM(L4:L78)</f>
        <v>-22.14500000000001</v>
      </c>
      <c r="N78">
        <v>75</v>
      </c>
    </row>
    <row r="79" spans="1:14">
      <c r="A79" s="2">
        <v>76</v>
      </c>
      <c r="B79" s="28">
        <v>41370</v>
      </c>
      <c r="C79" s="31" t="s">
        <v>217</v>
      </c>
      <c r="D79" s="31" t="s">
        <v>10</v>
      </c>
      <c r="E79" s="31" t="s">
        <v>240</v>
      </c>
      <c r="F79" s="31" t="s">
        <v>243</v>
      </c>
      <c r="G79" s="31" t="s">
        <v>244</v>
      </c>
      <c r="H79" s="40">
        <v>5.9</v>
      </c>
      <c r="I79" s="39" t="s">
        <v>89</v>
      </c>
      <c r="J79" s="40">
        <v>2.2000000000000002</v>
      </c>
      <c r="K79" s="41">
        <v>0</v>
      </c>
      <c r="L79" s="25">
        <f t="shared" si="1"/>
        <v>-2.2000000000000002</v>
      </c>
      <c r="M79" s="19">
        <f>SUM(L4:L79)</f>
        <v>-24.34500000000001</v>
      </c>
      <c r="N79">
        <v>76</v>
      </c>
    </row>
    <row r="80" spans="1:14">
      <c r="A80" s="2">
        <v>77</v>
      </c>
      <c r="B80" s="28">
        <v>41370</v>
      </c>
      <c r="C80" s="31" t="s">
        <v>217</v>
      </c>
      <c r="D80" s="31" t="s">
        <v>10</v>
      </c>
      <c r="E80" s="31" t="s">
        <v>229</v>
      </c>
      <c r="F80" s="31" t="s">
        <v>245</v>
      </c>
      <c r="G80" s="31" t="s">
        <v>246</v>
      </c>
      <c r="H80" s="40">
        <v>5.3</v>
      </c>
      <c r="I80" s="39" t="s">
        <v>253</v>
      </c>
      <c r="J80" s="40">
        <v>2.2000000000000002</v>
      </c>
      <c r="K80" s="41">
        <v>0</v>
      </c>
      <c r="L80" s="25">
        <f t="shared" si="1"/>
        <v>-2.2000000000000002</v>
      </c>
      <c r="M80" s="19">
        <f>SUM(L4:L80)</f>
        <v>-26.545000000000009</v>
      </c>
      <c r="N80">
        <v>77</v>
      </c>
    </row>
    <row r="81" spans="1:14">
      <c r="A81" s="2">
        <v>78</v>
      </c>
      <c r="B81" s="28">
        <v>41370</v>
      </c>
      <c r="C81" s="31" t="s">
        <v>217</v>
      </c>
      <c r="D81" s="31" t="s">
        <v>10</v>
      </c>
      <c r="E81" s="31" t="s">
        <v>229</v>
      </c>
      <c r="F81" s="31" t="s">
        <v>247</v>
      </c>
      <c r="G81" s="31" t="s">
        <v>248</v>
      </c>
      <c r="H81" s="31">
        <v>4.4000000000000004</v>
      </c>
      <c r="I81" s="39" t="s">
        <v>254</v>
      </c>
      <c r="J81" s="40">
        <v>2.7</v>
      </c>
      <c r="K81" s="42">
        <v>11.88</v>
      </c>
      <c r="L81" s="25">
        <f t="shared" si="1"/>
        <v>9.18</v>
      </c>
      <c r="M81" s="19">
        <f>SUM(L4:L81)</f>
        <v>-17.365000000000009</v>
      </c>
      <c r="N81">
        <v>78</v>
      </c>
    </row>
    <row r="82" spans="1:14">
      <c r="A82" s="2">
        <v>79</v>
      </c>
      <c r="B82" s="28">
        <v>41370</v>
      </c>
      <c r="C82" s="31" t="s">
        <v>98</v>
      </c>
      <c r="D82" s="31" t="s">
        <v>10</v>
      </c>
      <c r="E82" s="31" t="s">
        <v>99</v>
      </c>
      <c r="F82" s="31" t="s">
        <v>249</v>
      </c>
      <c r="G82" s="31" t="s">
        <v>100</v>
      </c>
      <c r="H82" s="31">
        <v>3.35</v>
      </c>
      <c r="I82" s="39" t="s">
        <v>254</v>
      </c>
      <c r="J82" s="40">
        <v>3.4</v>
      </c>
      <c r="K82" s="41">
        <v>0</v>
      </c>
      <c r="L82" s="25">
        <f t="shared" si="1"/>
        <v>-3.4</v>
      </c>
      <c r="M82" s="19">
        <f>SUM(L4:L82)</f>
        <v>-20.765000000000008</v>
      </c>
      <c r="N82">
        <v>79</v>
      </c>
    </row>
    <row r="83" spans="1:14">
      <c r="A83" s="2">
        <v>80</v>
      </c>
      <c r="B83" s="28">
        <v>41370</v>
      </c>
      <c r="C83" s="31" t="s">
        <v>214</v>
      </c>
      <c r="D83" s="31" t="s">
        <v>10</v>
      </c>
      <c r="E83" s="31" t="s">
        <v>75</v>
      </c>
      <c r="F83" s="31" t="s">
        <v>250</v>
      </c>
      <c r="G83" s="31" t="s">
        <v>203</v>
      </c>
      <c r="H83" s="31">
        <v>3.75</v>
      </c>
      <c r="I83" s="39" t="s">
        <v>90</v>
      </c>
      <c r="J83" s="40">
        <v>2.8</v>
      </c>
      <c r="K83" s="41">
        <v>0</v>
      </c>
      <c r="L83" s="25">
        <f t="shared" si="1"/>
        <v>-2.8</v>
      </c>
      <c r="M83" s="19">
        <f>SUM(L4:L83)</f>
        <v>-23.565000000000008</v>
      </c>
      <c r="N83">
        <v>80</v>
      </c>
    </row>
    <row r="84" spans="1:14">
      <c r="A84" s="2">
        <v>81</v>
      </c>
      <c r="B84" s="28">
        <v>41370</v>
      </c>
      <c r="C84" s="31" t="s">
        <v>214</v>
      </c>
      <c r="D84" s="31" t="s">
        <v>10</v>
      </c>
      <c r="E84" s="31" t="s">
        <v>88</v>
      </c>
      <c r="F84" s="31" t="s">
        <v>251</v>
      </c>
      <c r="G84" s="31" t="s">
        <v>96</v>
      </c>
      <c r="H84" s="31">
        <v>4.2</v>
      </c>
      <c r="I84" s="39" t="s">
        <v>138</v>
      </c>
      <c r="J84" s="40">
        <v>2.8</v>
      </c>
      <c r="K84" s="41">
        <v>0</v>
      </c>
      <c r="L84" s="25">
        <f t="shared" si="1"/>
        <v>-2.8</v>
      </c>
      <c r="M84" s="19">
        <f>SUM(L4:L84)</f>
        <v>-26.365000000000009</v>
      </c>
      <c r="N84">
        <v>81</v>
      </c>
    </row>
    <row r="85" spans="1:14">
      <c r="A85" s="2">
        <v>82</v>
      </c>
      <c r="B85" s="28">
        <v>41370</v>
      </c>
      <c r="C85" s="31" t="s">
        <v>214</v>
      </c>
      <c r="D85" s="31" t="s">
        <v>10</v>
      </c>
      <c r="E85" s="31" t="s">
        <v>81</v>
      </c>
      <c r="F85" s="31" t="s">
        <v>83</v>
      </c>
      <c r="G85" s="31" t="s">
        <v>252</v>
      </c>
      <c r="H85" s="31">
        <v>3.5</v>
      </c>
      <c r="I85" s="39" t="s">
        <v>97</v>
      </c>
      <c r="J85" s="40">
        <v>3.2</v>
      </c>
      <c r="K85" s="42">
        <v>11.2</v>
      </c>
      <c r="L85" s="25">
        <f t="shared" si="1"/>
        <v>7.9999999999999991</v>
      </c>
      <c r="M85" s="19">
        <f>SUM(L4:L85)</f>
        <v>-18.365000000000009</v>
      </c>
      <c r="N85">
        <v>82</v>
      </c>
    </row>
    <row r="86" spans="1:14">
      <c r="A86" s="2">
        <v>83</v>
      </c>
      <c r="B86" s="28">
        <v>41371</v>
      </c>
      <c r="C86" s="31" t="s">
        <v>98</v>
      </c>
      <c r="D86" s="31" t="s">
        <v>10</v>
      </c>
      <c r="E86" s="31" t="s">
        <v>218</v>
      </c>
      <c r="F86" s="31" t="s">
        <v>255</v>
      </c>
      <c r="G86" s="31" t="s">
        <v>256</v>
      </c>
      <c r="H86" s="31">
        <v>3</v>
      </c>
      <c r="I86" s="39" t="s">
        <v>163</v>
      </c>
      <c r="J86" s="43">
        <v>3.5</v>
      </c>
      <c r="K86" s="44">
        <v>0</v>
      </c>
      <c r="L86" s="25">
        <f t="shared" si="1"/>
        <v>-3.5</v>
      </c>
      <c r="M86" s="19">
        <f>SUM(L4:L86)</f>
        <v>-21.865000000000009</v>
      </c>
      <c r="N86">
        <v>83</v>
      </c>
    </row>
    <row r="87" spans="1:14">
      <c r="A87" s="2">
        <v>84</v>
      </c>
      <c r="B87" s="28">
        <v>41371</v>
      </c>
      <c r="C87" s="31" t="s">
        <v>151</v>
      </c>
      <c r="D87" s="31" t="s">
        <v>10</v>
      </c>
      <c r="E87" s="31" t="s">
        <v>218</v>
      </c>
      <c r="F87" s="31" t="s">
        <v>222</v>
      </c>
      <c r="G87" s="31" t="s">
        <v>257</v>
      </c>
      <c r="H87" s="31">
        <v>4.05</v>
      </c>
      <c r="I87" s="39" t="s">
        <v>119</v>
      </c>
      <c r="J87" s="40">
        <v>2.8</v>
      </c>
      <c r="K87" s="44">
        <v>0</v>
      </c>
      <c r="L87" s="25">
        <f t="shared" si="1"/>
        <v>-2.8</v>
      </c>
      <c r="M87" s="19">
        <f>SUM(L4:L87)</f>
        <v>-24.66500000000001</v>
      </c>
      <c r="N87">
        <v>84</v>
      </c>
    </row>
    <row r="88" spans="1:14">
      <c r="A88" s="2">
        <v>85</v>
      </c>
      <c r="B88" s="28">
        <v>41371</v>
      </c>
      <c r="C88" s="31" t="s">
        <v>258</v>
      </c>
      <c r="D88" s="31" t="s">
        <v>10</v>
      </c>
      <c r="E88" s="31" t="s">
        <v>240</v>
      </c>
      <c r="F88" s="31" t="s">
        <v>259</v>
      </c>
      <c r="G88" s="31" t="s">
        <v>260</v>
      </c>
      <c r="H88" s="31">
        <v>4.2</v>
      </c>
      <c r="I88" s="39" t="s">
        <v>90</v>
      </c>
      <c r="J88" s="40">
        <v>2.8</v>
      </c>
      <c r="K88" s="44">
        <v>0</v>
      </c>
      <c r="L88" s="25">
        <f t="shared" si="1"/>
        <v>-2.8</v>
      </c>
      <c r="M88" s="19">
        <f>SUM(L4:L88)</f>
        <v>-27.465000000000011</v>
      </c>
      <c r="N88">
        <v>85</v>
      </c>
    </row>
    <row r="89" spans="1:14">
      <c r="A89" s="2">
        <v>86</v>
      </c>
      <c r="B89" s="28">
        <v>41371</v>
      </c>
      <c r="C89" s="31" t="s">
        <v>217</v>
      </c>
      <c r="D89" s="31" t="s">
        <v>10</v>
      </c>
      <c r="E89" s="31" t="s">
        <v>229</v>
      </c>
      <c r="F89" s="31" t="s">
        <v>261</v>
      </c>
      <c r="G89" s="31" t="s">
        <v>262</v>
      </c>
      <c r="H89" s="31">
        <v>5.9</v>
      </c>
      <c r="I89" s="39" t="s">
        <v>268</v>
      </c>
      <c r="J89" s="41">
        <v>2.2000000000000002</v>
      </c>
      <c r="K89" s="44">
        <v>0</v>
      </c>
      <c r="L89" s="25">
        <f t="shared" si="1"/>
        <v>-2.2000000000000002</v>
      </c>
      <c r="M89" s="19">
        <f>SUM(L4:L89)</f>
        <v>-29.66500000000001</v>
      </c>
      <c r="N89">
        <v>86</v>
      </c>
    </row>
    <row r="90" spans="1:14">
      <c r="A90" s="2">
        <v>87</v>
      </c>
      <c r="B90" s="28">
        <v>41371</v>
      </c>
      <c r="C90" s="31" t="s">
        <v>217</v>
      </c>
      <c r="D90" s="31" t="s">
        <v>10</v>
      </c>
      <c r="E90" s="31" t="s">
        <v>229</v>
      </c>
      <c r="F90" s="31" t="s">
        <v>263</v>
      </c>
      <c r="G90" s="31" t="s">
        <v>264</v>
      </c>
      <c r="H90" s="31">
        <v>7.4</v>
      </c>
      <c r="I90" s="39" t="s">
        <v>90</v>
      </c>
      <c r="J90" s="41">
        <v>2</v>
      </c>
      <c r="K90" s="44">
        <v>0</v>
      </c>
      <c r="L90" s="25">
        <f t="shared" si="1"/>
        <v>-2</v>
      </c>
      <c r="M90" s="19">
        <f>SUM(L4:L90)</f>
        <v>-31.66500000000001</v>
      </c>
      <c r="N90">
        <v>87</v>
      </c>
    </row>
    <row r="91" spans="1:14">
      <c r="A91" s="2">
        <v>88</v>
      </c>
      <c r="B91" s="28">
        <v>41372</v>
      </c>
      <c r="C91" s="31" t="s">
        <v>217</v>
      </c>
      <c r="D91" s="31" t="s">
        <v>10</v>
      </c>
      <c r="E91" s="31" t="s">
        <v>110</v>
      </c>
      <c r="F91" s="31" t="s">
        <v>265</v>
      </c>
      <c r="G91" s="31" t="s">
        <v>112</v>
      </c>
      <c r="H91" s="31">
        <v>4.3</v>
      </c>
      <c r="I91" s="39" t="s">
        <v>90</v>
      </c>
      <c r="J91" s="41">
        <v>2.75</v>
      </c>
      <c r="K91" s="44">
        <v>0</v>
      </c>
      <c r="L91" s="25">
        <f t="shared" si="1"/>
        <v>-2.75</v>
      </c>
      <c r="M91" s="19">
        <f>SUM(L4:L91)</f>
        <v>-34.415000000000006</v>
      </c>
      <c r="N91">
        <v>88</v>
      </c>
    </row>
    <row r="92" spans="1:14">
      <c r="A92" s="2">
        <v>89</v>
      </c>
      <c r="B92" s="28">
        <v>41371</v>
      </c>
      <c r="C92" s="31" t="s">
        <v>217</v>
      </c>
      <c r="D92" s="31" t="s">
        <v>10</v>
      </c>
      <c r="E92" s="31" t="s">
        <v>69</v>
      </c>
      <c r="F92" s="31" t="s">
        <v>266</v>
      </c>
      <c r="G92" s="31" t="s">
        <v>267</v>
      </c>
      <c r="H92" s="31">
        <v>6.2</v>
      </c>
      <c r="I92" s="39" t="s">
        <v>90</v>
      </c>
      <c r="J92" s="41">
        <v>2.2000000000000002</v>
      </c>
      <c r="K92" s="44">
        <v>0</v>
      </c>
      <c r="L92" s="25">
        <f t="shared" si="1"/>
        <v>-2.2000000000000002</v>
      </c>
      <c r="M92" s="19">
        <f>SUM(L4:L92)</f>
        <v>-36.615000000000009</v>
      </c>
      <c r="N92">
        <v>89</v>
      </c>
    </row>
    <row r="93" spans="1:14">
      <c r="A93" s="2">
        <v>90</v>
      </c>
      <c r="B93" s="28">
        <v>41372</v>
      </c>
      <c r="C93" s="31" t="s">
        <v>217</v>
      </c>
      <c r="D93" s="31" t="s">
        <v>10</v>
      </c>
      <c r="E93" s="31" t="s">
        <v>218</v>
      </c>
      <c r="F93" s="31" t="s">
        <v>269</v>
      </c>
      <c r="G93" s="31" t="s">
        <v>257</v>
      </c>
      <c r="H93" s="31">
        <v>5.5</v>
      </c>
      <c r="I93" s="39" t="s">
        <v>195</v>
      </c>
      <c r="J93" s="41">
        <v>2.4</v>
      </c>
      <c r="K93" s="44">
        <v>0</v>
      </c>
      <c r="L93" s="25">
        <f t="shared" si="1"/>
        <v>-2.4</v>
      </c>
      <c r="M93" s="19">
        <f>SUM(L4:L93)</f>
        <v>-39.015000000000008</v>
      </c>
      <c r="N93">
        <v>90</v>
      </c>
    </row>
    <row r="94" spans="1:14">
      <c r="A94" s="2">
        <v>91</v>
      </c>
      <c r="B94" s="28">
        <v>41372</v>
      </c>
      <c r="C94" s="31" t="s">
        <v>151</v>
      </c>
      <c r="D94" s="31" t="s">
        <v>10</v>
      </c>
      <c r="E94" s="31" t="s">
        <v>270</v>
      </c>
      <c r="F94" s="31" t="s">
        <v>271</v>
      </c>
      <c r="G94" s="31" t="s">
        <v>272</v>
      </c>
      <c r="H94" s="31">
        <v>4.5</v>
      </c>
      <c r="I94" s="39" t="s">
        <v>89</v>
      </c>
      <c r="J94" s="41">
        <v>2.5</v>
      </c>
      <c r="K94" s="44">
        <v>0</v>
      </c>
      <c r="L94" s="25">
        <f t="shared" si="1"/>
        <v>-2.5</v>
      </c>
      <c r="M94" s="19">
        <f>SUM(L4:L94)</f>
        <v>-41.515000000000008</v>
      </c>
      <c r="N94">
        <v>91</v>
      </c>
    </row>
    <row r="95" spans="1:14">
      <c r="A95" s="2">
        <v>92</v>
      </c>
      <c r="B95" s="28">
        <v>41373</v>
      </c>
      <c r="C95" s="31" t="s">
        <v>214</v>
      </c>
      <c r="D95" s="31" t="s">
        <v>10</v>
      </c>
      <c r="E95" s="31" t="s">
        <v>81</v>
      </c>
      <c r="F95" s="31" t="s">
        <v>84</v>
      </c>
      <c r="G95" s="31" t="s">
        <v>95</v>
      </c>
      <c r="H95" s="31">
        <v>4.2</v>
      </c>
      <c r="I95" s="39" t="s">
        <v>89</v>
      </c>
      <c r="J95" s="41">
        <v>2.9</v>
      </c>
      <c r="K95" s="44">
        <v>0</v>
      </c>
      <c r="L95" s="25">
        <f t="shared" si="1"/>
        <v>-2.9</v>
      </c>
      <c r="M95" s="19">
        <f>SUM(L4:L95)</f>
        <v>-44.415000000000006</v>
      </c>
      <c r="N95">
        <v>92</v>
      </c>
    </row>
    <row r="96" spans="1:14">
      <c r="A96" s="2">
        <v>93</v>
      </c>
      <c r="B96" s="28">
        <v>41373</v>
      </c>
      <c r="C96" s="31" t="s">
        <v>214</v>
      </c>
      <c r="D96" s="31" t="s">
        <v>10</v>
      </c>
      <c r="E96" s="31" t="s">
        <v>81</v>
      </c>
      <c r="F96" s="31" t="s">
        <v>82</v>
      </c>
      <c r="G96" s="31" t="s">
        <v>83</v>
      </c>
      <c r="H96" s="31">
        <v>3.7</v>
      </c>
      <c r="I96" s="39" t="s">
        <v>254</v>
      </c>
      <c r="J96" s="41">
        <v>3</v>
      </c>
      <c r="K96" s="60">
        <v>11.1</v>
      </c>
      <c r="L96" s="25">
        <f t="shared" si="1"/>
        <v>8.1</v>
      </c>
      <c r="M96" s="19">
        <f>SUM(L4:L96)</f>
        <v>-36.315000000000005</v>
      </c>
      <c r="N96">
        <v>93</v>
      </c>
    </row>
    <row r="97" spans="1:14">
      <c r="A97" s="2">
        <v>94</v>
      </c>
      <c r="B97" s="28">
        <v>41373</v>
      </c>
      <c r="C97" s="31" t="s">
        <v>214</v>
      </c>
      <c r="D97" s="31" t="s">
        <v>10</v>
      </c>
      <c r="E97" s="31" t="s">
        <v>75</v>
      </c>
      <c r="F97" s="31" t="s">
        <v>185</v>
      </c>
      <c r="G97" s="31" t="s">
        <v>186</v>
      </c>
      <c r="H97" s="31">
        <v>3.1</v>
      </c>
      <c r="I97" s="39" t="s">
        <v>94</v>
      </c>
      <c r="J97" s="44">
        <v>3.5</v>
      </c>
      <c r="K97" s="44">
        <v>0</v>
      </c>
      <c r="L97" s="25">
        <f t="shared" si="1"/>
        <v>-3.5</v>
      </c>
      <c r="M97" s="19">
        <f>SUM(L4:L97)</f>
        <v>-39.815000000000005</v>
      </c>
      <c r="N97">
        <v>94</v>
      </c>
    </row>
    <row r="98" spans="1:14">
      <c r="A98" s="2">
        <v>95</v>
      </c>
      <c r="B98" s="28">
        <v>41374</v>
      </c>
      <c r="C98" s="31" t="s">
        <v>214</v>
      </c>
      <c r="D98" s="31" t="s">
        <v>10</v>
      </c>
      <c r="E98" s="31" t="s">
        <v>88</v>
      </c>
      <c r="F98" s="31" t="s">
        <v>158</v>
      </c>
      <c r="G98" s="31" t="s">
        <v>318</v>
      </c>
      <c r="H98" s="31">
        <v>4.2</v>
      </c>
      <c r="I98" s="39" t="s">
        <v>91</v>
      </c>
      <c r="J98" s="44">
        <v>2.7</v>
      </c>
      <c r="K98" s="44">
        <v>0</v>
      </c>
      <c r="L98" s="25">
        <f t="shared" si="1"/>
        <v>-2.7</v>
      </c>
      <c r="M98" s="19">
        <f>SUM(L4:L98)</f>
        <v>-42.515000000000008</v>
      </c>
      <c r="N98">
        <v>95</v>
      </c>
    </row>
    <row r="99" spans="1:14">
      <c r="A99" s="2">
        <v>96</v>
      </c>
      <c r="B99" s="28">
        <v>41374</v>
      </c>
      <c r="C99" s="31" t="s">
        <v>214</v>
      </c>
      <c r="D99" s="31" t="s">
        <v>10</v>
      </c>
      <c r="E99" s="31" t="s">
        <v>80</v>
      </c>
      <c r="F99" s="31" t="s">
        <v>78</v>
      </c>
      <c r="G99" s="31" t="s">
        <v>162</v>
      </c>
      <c r="H99" s="31">
        <v>4.8499999999999996</v>
      </c>
      <c r="I99" s="39" t="s">
        <v>90</v>
      </c>
      <c r="J99" s="44">
        <v>2.6</v>
      </c>
      <c r="K99" s="44">
        <v>0</v>
      </c>
      <c r="L99" s="25">
        <f t="shared" si="1"/>
        <v>-2.6</v>
      </c>
      <c r="M99" s="19">
        <f>SUM(L4:L99)</f>
        <v>-45.115000000000009</v>
      </c>
      <c r="N99">
        <v>96</v>
      </c>
    </row>
    <row r="100" spans="1:14">
      <c r="A100" s="2">
        <v>97</v>
      </c>
      <c r="B100" s="28">
        <v>41376</v>
      </c>
      <c r="C100" s="31" t="s">
        <v>214</v>
      </c>
      <c r="D100" s="31" t="s">
        <v>10</v>
      </c>
      <c r="E100" s="31" t="s">
        <v>75</v>
      </c>
      <c r="F100" s="31" t="s">
        <v>192</v>
      </c>
      <c r="G100" s="31" t="s">
        <v>203</v>
      </c>
      <c r="H100" s="31">
        <v>3.55</v>
      </c>
      <c r="I100" s="39" t="s">
        <v>120</v>
      </c>
      <c r="J100" s="44">
        <v>3.1</v>
      </c>
      <c r="K100" s="60">
        <v>11</v>
      </c>
      <c r="L100" s="25">
        <f t="shared" si="1"/>
        <v>7.9</v>
      </c>
      <c r="M100" s="19">
        <f>SUM(L4:L100)</f>
        <v>-37.215000000000011</v>
      </c>
      <c r="N100">
        <v>97</v>
      </c>
    </row>
    <row r="101" spans="1:14">
      <c r="A101" s="2">
        <v>98</v>
      </c>
      <c r="B101" s="28">
        <v>41376</v>
      </c>
      <c r="C101" s="31" t="s">
        <v>214</v>
      </c>
      <c r="D101" s="31" t="s">
        <v>10</v>
      </c>
      <c r="E101" s="31" t="s">
        <v>142</v>
      </c>
      <c r="F101" s="31" t="s">
        <v>327</v>
      </c>
      <c r="G101" s="31" t="s">
        <v>144</v>
      </c>
      <c r="H101" s="31">
        <v>3.75</v>
      </c>
      <c r="I101" s="39" t="s">
        <v>93</v>
      </c>
      <c r="J101" s="41">
        <v>3</v>
      </c>
      <c r="K101" s="44">
        <v>0</v>
      </c>
      <c r="L101" s="25">
        <f t="shared" si="1"/>
        <v>-3</v>
      </c>
      <c r="M101" s="19">
        <f>SUM(L4:L101)</f>
        <v>-40.215000000000011</v>
      </c>
      <c r="N101">
        <v>98</v>
      </c>
    </row>
    <row r="102" spans="1:14">
      <c r="A102" s="2">
        <v>99</v>
      </c>
      <c r="B102" s="28">
        <v>41376</v>
      </c>
      <c r="C102" s="31" t="s">
        <v>214</v>
      </c>
      <c r="D102" s="31" t="s">
        <v>10</v>
      </c>
      <c r="E102" s="31" t="s">
        <v>142</v>
      </c>
      <c r="F102" s="31" t="s">
        <v>328</v>
      </c>
      <c r="G102" s="31" t="s">
        <v>329</v>
      </c>
      <c r="H102" s="31">
        <v>3.85</v>
      </c>
      <c r="I102" s="39" t="s">
        <v>331</v>
      </c>
      <c r="J102" s="41">
        <v>3</v>
      </c>
      <c r="K102" s="60">
        <v>11.55</v>
      </c>
      <c r="L102" s="25">
        <f t="shared" si="1"/>
        <v>8.5500000000000007</v>
      </c>
      <c r="M102" s="19">
        <f>SUM(L4:L102)</f>
        <v>-31.66500000000001</v>
      </c>
      <c r="N102">
        <v>99</v>
      </c>
    </row>
    <row r="103" spans="1:14">
      <c r="A103" s="2">
        <v>100</v>
      </c>
      <c r="B103" s="28">
        <v>41376</v>
      </c>
      <c r="C103" s="31" t="s">
        <v>214</v>
      </c>
      <c r="D103" s="31" t="s">
        <v>10</v>
      </c>
      <c r="E103" s="31" t="s">
        <v>142</v>
      </c>
      <c r="F103" s="31" t="s">
        <v>330</v>
      </c>
      <c r="G103" s="31" t="s">
        <v>228</v>
      </c>
      <c r="H103" s="31">
        <v>4.55</v>
      </c>
      <c r="I103" s="39" t="s">
        <v>119</v>
      </c>
      <c r="J103" s="41">
        <v>2.6</v>
      </c>
      <c r="K103" s="41">
        <v>0</v>
      </c>
      <c r="L103" s="25">
        <f t="shared" si="1"/>
        <v>-2.6</v>
      </c>
      <c r="M103" s="19">
        <f>SUM(L4:L103)</f>
        <v>-34.265000000000008</v>
      </c>
      <c r="N103">
        <v>100</v>
      </c>
    </row>
    <row r="104" spans="1:14">
      <c r="A104" s="2">
        <v>101</v>
      </c>
      <c r="B104" s="28">
        <v>41377</v>
      </c>
      <c r="C104" s="31" t="s">
        <v>214</v>
      </c>
      <c r="D104" s="31" t="s">
        <v>10</v>
      </c>
      <c r="E104" s="31" t="s">
        <v>81</v>
      </c>
      <c r="F104" s="31" t="s">
        <v>82</v>
      </c>
      <c r="G104" s="31" t="s">
        <v>85</v>
      </c>
      <c r="H104" s="31">
        <v>4.05</v>
      </c>
      <c r="I104" s="39" t="s">
        <v>91</v>
      </c>
      <c r="J104" s="41">
        <v>2.9</v>
      </c>
      <c r="K104" s="41">
        <v>0</v>
      </c>
      <c r="L104" s="25">
        <f t="shared" si="1"/>
        <v>-2.9</v>
      </c>
      <c r="M104" s="19">
        <f>SUM(L4:L104)</f>
        <v>-37.165000000000006</v>
      </c>
      <c r="N104">
        <v>101</v>
      </c>
    </row>
    <row r="105" spans="1:14">
      <c r="A105" s="2">
        <v>102</v>
      </c>
      <c r="B105" s="28">
        <v>41377</v>
      </c>
      <c r="C105" s="31" t="s">
        <v>214</v>
      </c>
      <c r="D105" s="31" t="s">
        <v>10</v>
      </c>
      <c r="E105" s="31" t="s">
        <v>81</v>
      </c>
      <c r="F105" s="31" t="s">
        <v>84</v>
      </c>
      <c r="G105" s="31" t="s">
        <v>226</v>
      </c>
      <c r="H105" s="31">
        <v>4.05</v>
      </c>
      <c r="I105" s="39" t="s">
        <v>87</v>
      </c>
      <c r="J105" s="41">
        <v>2.9</v>
      </c>
      <c r="K105" s="41">
        <v>0</v>
      </c>
      <c r="L105" s="25">
        <f t="shared" si="1"/>
        <v>-2.9</v>
      </c>
      <c r="M105" s="19">
        <f>SUM(L4:L105)</f>
        <v>-40.065000000000005</v>
      </c>
      <c r="N105">
        <v>102</v>
      </c>
    </row>
    <row r="106" spans="1:14">
      <c r="A106" s="2">
        <v>103</v>
      </c>
      <c r="B106" s="28">
        <v>41377</v>
      </c>
      <c r="C106" s="31" t="s">
        <v>214</v>
      </c>
      <c r="D106" s="31" t="s">
        <v>10</v>
      </c>
      <c r="E106" s="31" t="s">
        <v>81</v>
      </c>
      <c r="F106" s="31" t="s">
        <v>96</v>
      </c>
      <c r="G106" s="31" t="s">
        <v>187</v>
      </c>
      <c r="H106" s="31">
        <v>4.2</v>
      </c>
      <c r="I106" s="39" t="s">
        <v>122</v>
      </c>
      <c r="J106" s="41">
        <v>2.8</v>
      </c>
      <c r="K106" s="41">
        <v>0</v>
      </c>
      <c r="L106" s="25">
        <f t="shared" si="1"/>
        <v>-2.8</v>
      </c>
      <c r="M106" s="19">
        <f>SUM(L4:L106)</f>
        <v>-42.865000000000002</v>
      </c>
      <c r="N106">
        <v>103</v>
      </c>
    </row>
    <row r="107" spans="1:14">
      <c r="A107" s="2">
        <v>104</v>
      </c>
      <c r="B107" s="28">
        <v>41377</v>
      </c>
      <c r="C107" s="31" t="s">
        <v>197</v>
      </c>
      <c r="D107" s="31" t="s">
        <v>10</v>
      </c>
      <c r="E107" s="31" t="s">
        <v>332</v>
      </c>
      <c r="F107" s="31" t="s">
        <v>333</v>
      </c>
      <c r="G107" s="31" t="s">
        <v>334</v>
      </c>
      <c r="H107" s="31">
        <v>3.5</v>
      </c>
      <c r="I107" s="39" t="s">
        <v>340</v>
      </c>
      <c r="J107" s="41">
        <v>3.2</v>
      </c>
      <c r="K107" s="42">
        <v>11.2</v>
      </c>
      <c r="L107" s="25">
        <f t="shared" si="1"/>
        <v>7.9999999999999991</v>
      </c>
      <c r="M107" s="19">
        <f>SUM(L4:L107)</f>
        <v>-34.865000000000002</v>
      </c>
      <c r="N107">
        <v>104</v>
      </c>
    </row>
    <row r="108" spans="1:14">
      <c r="A108" s="2">
        <v>105</v>
      </c>
      <c r="B108" s="28">
        <v>41377</v>
      </c>
      <c r="C108" s="31" t="s">
        <v>197</v>
      </c>
      <c r="D108" s="31" t="s">
        <v>10</v>
      </c>
      <c r="E108" s="31" t="s">
        <v>335</v>
      </c>
      <c r="F108" s="31" t="s">
        <v>243</v>
      </c>
      <c r="G108" s="31" t="s">
        <v>336</v>
      </c>
      <c r="H108" s="31">
        <v>3.35</v>
      </c>
      <c r="I108" s="39" t="s">
        <v>340</v>
      </c>
      <c r="J108" s="41">
        <v>3.2</v>
      </c>
      <c r="K108" s="42">
        <v>10.72</v>
      </c>
      <c r="L108" s="25">
        <f t="shared" si="1"/>
        <v>7.5200000000000005</v>
      </c>
      <c r="M108" s="19">
        <f>SUM(L4:L108)</f>
        <v>-27.345000000000002</v>
      </c>
      <c r="N108">
        <v>105</v>
      </c>
    </row>
    <row r="109" spans="1:14">
      <c r="A109" s="2">
        <v>106</v>
      </c>
      <c r="B109" s="28">
        <v>41377</v>
      </c>
      <c r="C109" s="31" t="s">
        <v>214</v>
      </c>
      <c r="D109" s="31" t="s">
        <v>10</v>
      </c>
      <c r="E109" s="31" t="s">
        <v>75</v>
      </c>
      <c r="F109" s="31" t="s">
        <v>184</v>
      </c>
      <c r="G109" s="31" t="s">
        <v>337</v>
      </c>
      <c r="H109" s="31">
        <v>3.4</v>
      </c>
      <c r="I109" s="39" t="s">
        <v>253</v>
      </c>
      <c r="J109" s="41">
        <v>3.2</v>
      </c>
      <c r="K109" s="41">
        <v>0</v>
      </c>
      <c r="L109" s="25">
        <f t="shared" si="1"/>
        <v>-3.2</v>
      </c>
      <c r="M109" s="19">
        <f>SUM(L4:L109)</f>
        <v>-30.545000000000002</v>
      </c>
      <c r="N109">
        <v>106</v>
      </c>
    </row>
    <row r="110" spans="1:14">
      <c r="A110" s="2">
        <v>107</v>
      </c>
      <c r="B110" s="28">
        <v>41377</v>
      </c>
      <c r="C110" s="31" t="s">
        <v>214</v>
      </c>
      <c r="D110" s="31" t="s">
        <v>10</v>
      </c>
      <c r="E110" s="31" t="s">
        <v>75</v>
      </c>
      <c r="F110" s="31" t="s">
        <v>191</v>
      </c>
      <c r="G110" s="31" t="s">
        <v>185</v>
      </c>
      <c r="H110" s="31">
        <v>3.1</v>
      </c>
      <c r="I110" s="39" t="s">
        <v>205</v>
      </c>
      <c r="J110" s="41">
        <v>3.5</v>
      </c>
      <c r="K110" s="42">
        <v>10.85</v>
      </c>
      <c r="L110" s="25">
        <f t="shared" si="1"/>
        <v>7.35</v>
      </c>
      <c r="M110" s="19">
        <f>SUM(L4:L110)</f>
        <v>-23.195</v>
      </c>
      <c r="N110">
        <v>107</v>
      </c>
    </row>
    <row r="111" spans="1:14">
      <c r="A111" s="2">
        <v>108</v>
      </c>
      <c r="B111" s="28">
        <v>41377</v>
      </c>
      <c r="C111" s="31" t="s">
        <v>214</v>
      </c>
      <c r="D111" s="31" t="s">
        <v>10</v>
      </c>
      <c r="E111" s="31" t="s">
        <v>153</v>
      </c>
      <c r="F111" s="31" t="s">
        <v>338</v>
      </c>
      <c r="G111" s="31" t="s">
        <v>339</v>
      </c>
      <c r="H111" s="31">
        <v>4.7</v>
      </c>
      <c r="I111" s="39" t="s">
        <v>97</v>
      </c>
      <c r="J111" s="41">
        <v>2.6</v>
      </c>
      <c r="K111" s="42">
        <v>12.22</v>
      </c>
      <c r="L111" s="25">
        <f t="shared" si="1"/>
        <v>9.620000000000001</v>
      </c>
      <c r="M111" s="19">
        <f>SUM(L4:L111)</f>
        <v>-13.574999999999999</v>
      </c>
      <c r="N111">
        <v>108</v>
      </c>
    </row>
    <row r="112" spans="1:14">
      <c r="A112" s="2">
        <v>109</v>
      </c>
      <c r="B112" s="28">
        <v>41378</v>
      </c>
      <c r="C112" s="31" t="s">
        <v>258</v>
      </c>
      <c r="D112" s="31" t="s">
        <v>10</v>
      </c>
      <c r="E112" s="31" t="s">
        <v>240</v>
      </c>
      <c r="F112" s="31" t="s">
        <v>242</v>
      </c>
      <c r="G112" s="31" t="s">
        <v>341</v>
      </c>
      <c r="H112" s="31">
        <v>3.45</v>
      </c>
      <c r="I112" s="39" t="s">
        <v>91</v>
      </c>
      <c r="J112" s="41">
        <v>3.2</v>
      </c>
      <c r="K112" s="41">
        <v>0</v>
      </c>
      <c r="L112" s="25">
        <f t="shared" si="1"/>
        <v>-3.2</v>
      </c>
      <c r="M112" s="19">
        <f>SUM(L4:L112)</f>
        <v>-16.774999999999999</v>
      </c>
      <c r="N112">
        <v>109</v>
      </c>
    </row>
    <row r="113" spans="1:14">
      <c r="A113" s="2">
        <v>110</v>
      </c>
      <c r="B113" s="28">
        <v>41378</v>
      </c>
      <c r="C113" s="31" t="s">
        <v>98</v>
      </c>
      <c r="D113" s="31" t="s">
        <v>10</v>
      </c>
      <c r="E113" s="31" t="s">
        <v>240</v>
      </c>
      <c r="F113" s="31" t="s">
        <v>342</v>
      </c>
      <c r="G113" s="31" t="s">
        <v>241</v>
      </c>
      <c r="H113" s="31">
        <v>3</v>
      </c>
      <c r="I113" s="39" t="s">
        <v>89</v>
      </c>
      <c r="J113" s="41">
        <v>3.5</v>
      </c>
      <c r="K113" s="41">
        <v>0</v>
      </c>
      <c r="L113" s="25">
        <f t="shared" si="1"/>
        <v>-3.5</v>
      </c>
      <c r="M113" s="19">
        <f>SUM(L4:L113)</f>
        <v>-20.274999999999999</v>
      </c>
      <c r="N113">
        <v>110</v>
      </c>
    </row>
    <row r="114" spans="1:14">
      <c r="A114" s="2">
        <v>111</v>
      </c>
      <c r="B114" s="28">
        <v>41378</v>
      </c>
      <c r="C114" s="31" t="s">
        <v>197</v>
      </c>
      <c r="D114" s="31" t="s">
        <v>10</v>
      </c>
      <c r="E114" s="31" t="s">
        <v>343</v>
      </c>
      <c r="F114" s="31" t="s">
        <v>344</v>
      </c>
      <c r="G114" s="31" t="s">
        <v>345</v>
      </c>
      <c r="H114" s="31">
        <v>3.2</v>
      </c>
      <c r="I114" s="39" t="s">
        <v>89</v>
      </c>
      <c r="J114" s="41">
        <v>3.4</v>
      </c>
      <c r="K114" s="41">
        <v>0</v>
      </c>
      <c r="L114" s="25">
        <f t="shared" si="1"/>
        <v>-3.4</v>
      </c>
      <c r="M114" s="19">
        <f>SUM(L4:L114)</f>
        <v>-23.674999999999997</v>
      </c>
      <c r="N114">
        <v>111</v>
      </c>
    </row>
    <row r="115" spans="1:14">
      <c r="A115" s="2">
        <v>112</v>
      </c>
      <c r="B115" s="28">
        <v>41378</v>
      </c>
      <c r="C115" s="31" t="s">
        <v>197</v>
      </c>
      <c r="D115" s="31" t="s">
        <v>10</v>
      </c>
      <c r="E115" s="31" t="s">
        <v>66</v>
      </c>
      <c r="F115" s="31" t="s">
        <v>346</v>
      </c>
      <c r="G115" s="31" t="s">
        <v>68</v>
      </c>
      <c r="H115" s="31">
        <v>3.1</v>
      </c>
      <c r="I115" s="39" t="s">
        <v>87</v>
      </c>
      <c r="J115" s="41">
        <v>3.5</v>
      </c>
      <c r="K115" s="41">
        <v>0</v>
      </c>
      <c r="L115" s="25">
        <f t="shared" si="1"/>
        <v>-3.5</v>
      </c>
      <c r="M115" s="19">
        <f>SUM(L4:L115)</f>
        <v>-27.174999999999997</v>
      </c>
      <c r="N115">
        <v>112</v>
      </c>
    </row>
    <row r="116" spans="1:14">
      <c r="A116" s="2">
        <v>113</v>
      </c>
      <c r="B116" s="28">
        <v>41378</v>
      </c>
      <c r="C116" s="31" t="s">
        <v>197</v>
      </c>
      <c r="D116" s="31" t="s">
        <v>10</v>
      </c>
      <c r="E116" s="31" t="s">
        <v>66</v>
      </c>
      <c r="F116" s="31" t="s">
        <v>347</v>
      </c>
      <c r="G116" s="31" t="s">
        <v>348</v>
      </c>
      <c r="H116" s="31">
        <v>3.85</v>
      </c>
      <c r="I116" s="39" t="s">
        <v>91</v>
      </c>
      <c r="J116" s="41">
        <v>3</v>
      </c>
      <c r="K116" s="41">
        <v>0</v>
      </c>
      <c r="L116" s="25">
        <f t="shared" si="1"/>
        <v>-3</v>
      </c>
      <c r="M116" s="19">
        <f>SUM(L4:L116)</f>
        <v>-30.174999999999997</v>
      </c>
      <c r="N116">
        <v>113</v>
      </c>
    </row>
    <row r="117" spans="1:14">
      <c r="A117" s="2">
        <v>114</v>
      </c>
      <c r="B117" s="28">
        <v>41378</v>
      </c>
      <c r="C117" s="31" t="s">
        <v>197</v>
      </c>
      <c r="D117" s="31" t="s">
        <v>10</v>
      </c>
      <c r="E117" s="31" t="s">
        <v>110</v>
      </c>
      <c r="F117" s="31" t="s">
        <v>349</v>
      </c>
      <c r="G117" s="31" t="s">
        <v>350</v>
      </c>
      <c r="H117" s="31">
        <v>3.85</v>
      </c>
      <c r="I117" s="39" t="s">
        <v>166</v>
      </c>
      <c r="J117" s="41">
        <v>3</v>
      </c>
      <c r="K117" s="41">
        <v>0</v>
      </c>
      <c r="L117" s="25">
        <f t="shared" si="1"/>
        <v>-3</v>
      </c>
      <c r="M117" s="19">
        <f>SUM(L4:L117)</f>
        <v>-33.174999999999997</v>
      </c>
      <c r="N117">
        <v>114</v>
      </c>
    </row>
    <row r="118" spans="1:14">
      <c r="A118" s="2">
        <v>115</v>
      </c>
      <c r="B118" s="28">
        <v>41378</v>
      </c>
      <c r="C118" s="31" t="s">
        <v>197</v>
      </c>
      <c r="D118" s="31" t="s">
        <v>10</v>
      </c>
      <c r="E118" s="31" t="s">
        <v>110</v>
      </c>
      <c r="F118" s="31" t="s">
        <v>351</v>
      </c>
      <c r="G118" s="31" t="s">
        <v>265</v>
      </c>
      <c r="H118" s="31">
        <v>3.4</v>
      </c>
      <c r="I118" s="39" t="s">
        <v>254</v>
      </c>
      <c r="J118" s="41">
        <v>3.2</v>
      </c>
      <c r="K118" s="42">
        <v>10.88</v>
      </c>
      <c r="L118" s="25">
        <f t="shared" si="1"/>
        <v>7.6800000000000006</v>
      </c>
      <c r="M118" s="19">
        <f>SUM(L4:L118)</f>
        <v>-25.494999999999997</v>
      </c>
      <c r="N118">
        <v>115</v>
      </c>
    </row>
    <row r="119" spans="1:14">
      <c r="A119" s="2">
        <v>116</v>
      </c>
      <c r="B119" s="28">
        <v>41378</v>
      </c>
      <c r="C119" s="31" t="s">
        <v>197</v>
      </c>
      <c r="D119" s="31" t="s">
        <v>10</v>
      </c>
      <c r="E119" s="31" t="s">
        <v>352</v>
      </c>
      <c r="F119" s="31" t="s">
        <v>353</v>
      </c>
      <c r="G119" s="31" t="s">
        <v>354</v>
      </c>
      <c r="H119" s="31">
        <v>3.2</v>
      </c>
      <c r="I119" s="39" t="s">
        <v>97</v>
      </c>
      <c r="J119" s="41">
        <v>3.3</v>
      </c>
      <c r="K119" s="42">
        <v>10.56</v>
      </c>
      <c r="L119" s="25">
        <f t="shared" si="1"/>
        <v>7.2600000000000007</v>
      </c>
      <c r="M119" s="19">
        <f>SUM(L4:L119)</f>
        <v>-18.234999999999996</v>
      </c>
      <c r="N119">
        <v>116</v>
      </c>
    </row>
    <row r="120" spans="1:14">
      <c r="A120" s="2">
        <v>117</v>
      </c>
      <c r="B120" s="28">
        <v>41379</v>
      </c>
      <c r="C120" s="31" t="s">
        <v>197</v>
      </c>
      <c r="D120" s="31" t="s">
        <v>10</v>
      </c>
      <c r="E120" s="31" t="s">
        <v>110</v>
      </c>
      <c r="F120" s="31" t="s">
        <v>355</v>
      </c>
      <c r="G120" s="31" t="s">
        <v>111</v>
      </c>
      <c r="H120" s="31">
        <v>3.25</v>
      </c>
      <c r="I120" s="39" t="s">
        <v>136</v>
      </c>
      <c r="J120" s="41">
        <v>3.4</v>
      </c>
      <c r="K120" s="42">
        <v>11.05</v>
      </c>
      <c r="L120" s="25">
        <f t="shared" si="1"/>
        <v>7.65</v>
      </c>
      <c r="M120" s="19">
        <f>SUM(L4:L120)</f>
        <v>-10.584999999999996</v>
      </c>
      <c r="N120">
        <v>117</v>
      </c>
    </row>
    <row r="121" spans="1:14">
      <c r="A121" s="2">
        <v>118</v>
      </c>
      <c r="B121" s="28">
        <v>41380</v>
      </c>
      <c r="C121" s="31" t="s">
        <v>214</v>
      </c>
      <c r="D121" s="31" t="s">
        <v>10</v>
      </c>
      <c r="E121" s="31" t="s">
        <v>81</v>
      </c>
      <c r="F121" s="31" t="s">
        <v>82</v>
      </c>
      <c r="G121" s="31" t="s">
        <v>96</v>
      </c>
      <c r="H121" s="31">
        <v>3.5</v>
      </c>
      <c r="I121" s="39" t="s">
        <v>137</v>
      </c>
      <c r="J121" s="41">
        <v>3.2</v>
      </c>
      <c r="K121" s="62">
        <v>3.2</v>
      </c>
      <c r="L121" s="25">
        <f t="shared" si="1"/>
        <v>0</v>
      </c>
      <c r="M121" s="19">
        <f>SUM(L4:L121)</f>
        <v>-10.584999999999996</v>
      </c>
      <c r="N121">
        <v>118</v>
      </c>
    </row>
    <row r="122" spans="1:14">
      <c r="A122" s="2">
        <v>119</v>
      </c>
      <c r="B122" s="28">
        <v>41380</v>
      </c>
      <c r="C122" s="31" t="s">
        <v>214</v>
      </c>
      <c r="D122" s="31" t="s">
        <v>10</v>
      </c>
      <c r="E122" s="31" t="s">
        <v>75</v>
      </c>
      <c r="F122" s="31" t="s">
        <v>356</v>
      </c>
      <c r="G122" s="31" t="s">
        <v>77</v>
      </c>
      <c r="H122" s="31">
        <v>3.4</v>
      </c>
      <c r="I122" s="39" t="s">
        <v>93</v>
      </c>
      <c r="J122" s="41">
        <v>3.2</v>
      </c>
      <c r="K122" s="41">
        <v>0</v>
      </c>
      <c r="L122" s="25">
        <f t="shared" si="1"/>
        <v>-3.2</v>
      </c>
      <c r="M122" s="19">
        <f>SUM(L4:L122)</f>
        <v>-13.784999999999997</v>
      </c>
      <c r="N122">
        <v>119</v>
      </c>
    </row>
    <row r="123" spans="1:14">
      <c r="A123" s="2">
        <v>120</v>
      </c>
      <c r="B123" s="28">
        <v>41380</v>
      </c>
      <c r="C123" s="31" t="s">
        <v>214</v>
      </c>
      <c r="D123" s="31" t="s">
        <v>10</v>
      </c>
      <c r="E123" s="31" t="s">
        <v>153</v>
      </c>
      <c r="F123" s="31" t="s">
        <v>177</v>
      </c>
      <c r="G123" s="31" t="s">
        <v>154</v>
      </c>
      <c r="H123" s="31">
        <v>4.7</v>
      </c>
      <c r="I123" s="39" t="s">
        <v>122</v>
      </c>
      <c r="J123" s="41">
        <v>2.6</v>
      </c>
      <c r="K123" s="41">
        <v>0</v>
      </c>
      <c r="L123" s="25">
        <f t="shared" si="1"/>
        <v>-2.6</v>
      </c>
      <c r="M123" s="19">
        <f>SUM(L4:L123)</f>
        <v>-16.384999999999998</v>
      </c>
      <c r="N123">
        <v>120</v>
      </c>
    </row>
    <row r="124" spans="1:14">
      <c r="A124" s="2">
        <v>121</v>
      </c>
      <c r="B124" s="28">
        <v>41381</v>
      </c>
      <c r="C124" s="31" t="s">
        <v>98</v>
      </c>
      <c r="D124" s="31" t="s">
        <v>10</v>
      </c>
      <c r="E124" s="31" t="s">
        <v>352</v>
      </c>
      <c r="F124" s="31" t="s">
        <v>357</v>
      </c>
      <c r="G124" s="31" t="s">
        <v>358</v>
      </c>
      <c r="H124" s="31">
        <v>3.1</v>
      </c>
      <c r="I124" s="39" t="s">
        <v>87</v>
      </c>
      <c r="J124" s="41">
        <v>3.5</v>
      </c>
      <c r="K124" s="41">
        <v>0</v>
      </c>
      <c r="L124" s="25">
        <f t="shared" si="1"/>
        <v>-3.5</v>
      </c>
      <c r="M124" s="19">
        <f>SUM(L4:L124)</f>
        <v>-19.884999999999998</v>
      </c>
      <c r="N124">
        <v>121</v>
      </c>
    </row>
    <row r="125" spans="1:14">
      <c r="A125" s="2">
        <v>122</v>
      </c>
      <c r="B125" s="28">
        <v>41381</v>
      </c>
      <c r="C125" s="31" t="s">
        <v>197</v>
      </c>
      <c r="D125" s="31" t="s">
        <v>10</v>
      </c>
      <c r="E125" s="31" t="s">
        <v>113</v>
      </c>
      <c r="F125" s="31" t="s">
        <v>359</v>
      </c>
      <c r="G125" s="31" t="s">
        <v>257</v>
      </c>
      <c r="H125" s="31">
        <v>2.9</v>
      </c>
      <c r="I125" s="39" t="s">
        <v>89</v>
      </c>
      <c r="J125" s="41">
        <v>3.6</v>
      </c>
      <c r="K125" s="41">
        <v>0</v>
      </c>
      <c r="L125" s="25">
        <f t="shared" si="1"/>
        <v>-3.6</v>
      </c>
      <c r="M125" s="19">
        <f>SUM(L4:L125)</f>
        <v>-23.484999999999999</v>
      </c>
      <c r="N125">
        <v>122</v>
      </c>
    </row>
    <row r="126" spans="1:14">
      <c r="A126" s="2">
        <v>123</v>
      </c>
      <c r="B126" s="28">
        <v>41381</v>
      </c>
      <c r="C126" s="31" t="s">
        <v>98</v>
      </c>
      <c r="D126" s="31" t="s">
        <v>10</v>
      </c>
      <c r="E126" s="31" t="s">
        <v>113</v>
      </c>
      <c r="F126" s="31" t="s">
        <v>360</v>
      </c>
      <c r="G126" s="31" t="s">
        <v>74</v>
      </c>
      <c r="H126" s="31">
        <v>2.9</v>
      </c>
      <c r="I126" s="39" t="s">
        <v>195</v>
      </c>
      <c r="J126" s="41">
        <v>3.6</v>
      </c>
      <c r="K126" s="41">
        <v>0</v>
      </c>
      <c r="L126" s="25">
        <f t="shared" si="1"/>
        <v>-3.6</v>
      </c>
      <c r="M126" s="19">
        <f>SUM(L4:L126)</f>
        <v>-27.085000000000001</v>
      </c>
      <c r="N126">
        <v>123</v>
      </c>
    </row>
    <row r="127" spans="1:14">
      <c r="A127" s="2">
        <v>124</v>
      </c>
      <c r="B127" s="28">
        <v>41384</v>
      </c>
      <c r="C127" s="31" t="s">
        <v>214</v>
      </c>
      <c r="D127" s="31" t="s">
        <v>10</v>
      </c>
      <c r="E127" s="31" t="s">
        <v>81</v>
      </c>
      <c r="F127" s="31" t="s">
        <v>84</v>
      </c>
      <c r="G127" s="31" t="s">
        <v>361</v>
      </c>
      <c r="H127" s="31">
        <v>4.8499999999999996</v>
      </c>
      <c r="I127" s="39" t="s">
        <v>195</v>
      </c>
      <c r="J127" s="41">
        <v>2.6</v>
      </c>
      <c r="K127" s="41">
        <v>0</v>
      </c>
      <c r="L127" s="25">
        <f t="shared" si="1"/>
        <v>-2.6</v>
      </c>
      <c r="M127" s="19">
        <f>SUM(L4:L127)</f>
        <v>-29.685000000000002</v>
      </c>
      <c r="N127">
        <v>124</v>
      </c>
    </row>
    <row r="128" spans="1:14">
      <c r="A128" s="2">
        <v>125</v>
      </c>
      <c r="B128" s="28">
        <v>41384</v>
      </c>
      <c r="C128" s="31" t="s">
        <v>214</v>
      </c>
      <c r="D128" s="31" t="s">
        <v>10</v>
      </c>
      <c r="E128" s="31" t="s">
        <v>81</v>
      </c>
      <c r="F128" s="31" t="s">
        <v>83</v>
      </c>
      <c r="G128" s="31" t="s">
        <v>160</v>
      </c>
      <c r="H128" s="31">
        <v>3.7</v>
      </c>
      <c r="I128" s="39" t="s">
        <v>204</v>
      </c>
      <c r="J128" s="44">
        <v>3</v>
      </c>
      <c r="K128" s="41">
        <v>0</v>
      </c>
      <c r="L128" s="25">
        <f t="shared" si="1"/>
        <v>-3</v>
      </c>
      <c r="M128" s="19">
        <f>SUM(L4:L128)</f>
        <v>-32.685000000000002</v>
      </c>
      <c r="N128">
        <v>125</v>
      </c>
    </row>
    <row r="129" spans="1:14">
      <c r="A129" s="2">
        <v>126</v>
      </c>
      <c r="B129" s="28">
        <v>41384</v>
      </c>
      <c r="C129" s="31" t="s">
        <v>214</v>
      </c>
      <c r="D129" s="31" t="s">
        <v>10</v>
      </c>
      <c r="E129" s="31" t="s">
        <v>80</v>
      </c>
      <c r="F129" s="31" t="s">
        <v>79</v>
      </c>
      <c r="G129" s="31" t="s">
        <v>362</v>
      </c>
      <c r="H129" s="31">
        <v>3.4</v>
      </c>
      <c r="I129" s="39" t="s">
        <v>205</v>
      </c>
      <c r="J129" s="44">
        <v>3.2</v>
      </c>
      <c r="K129" s="42">
        <v>10.88</v>
      </c>
      <c r="L129" s="25">
        <f t="shared" si="1"/>
        <v>7.6800000000000006</v>
      </c>
      <c r="M129" s="19">
        <f>SUM(L4:L129)</f>
        <v>-25.005000000000003</v>
      </c>
      <c r="N129">
        <v>126</v>
      </c>
    </row>
    <row r="130" spans="1:14">
      <c r="A130" s="2">
        <v>127</v>
      </c>
      <c r="B130" s="28">
        <v>41384</v>
      </c>
      <c r="C130" s="31" t="s">
        <v>197</v>
      </c>
      <c r="D130" s="31" t="s">
        <v>10</v>
      </c>
      <c r="E130" s="31" t="s">
        <v>167</v>
      </c>
      <c r="F130" s="31" t="s">
        <v>363</v>
      </c>
      <c r="G130" s="31" t="s">
        <v>364</v>
      </c>
      <c r="H130" s="31">
        <v>3.3</v>
      </c>
      <c r="I130" s="39" t="s">
        <v>94</v>
      </c>
      <c r="J130" s="44">
        <v>3.3</v>
      </c>
      <c r="K130" s="41">
        <v>0</v>
      </c>
      <c r="L130" s="25">
        <f t="shared" si="1"/>
        <v>-3.3</v>
      </c>
      <c r="M130" s="19">
        <f>SUM(L4:L130)</f>
        <v>-28.305000000000003</v>
      </c>
      <c r="N130">
        <v>127</v>
      </c>
    </row>
    <row r="131" spans="1:14">
      <c r="A131" s="2">
        <v>128</v>
      </c>
      <c r="B131" s="28">
        <v>41384</v>
      </c>
      <c r="C131" s="31" t="s">
        <v>214</v>
      </c>
      <c r="D131" s="31" t="s">
        <v>10</v>
      </c>
      <c r="E131" s="31" t="s">
        <v>75</v>
      </c>
      <c r="F131" s="31" t="s">
        <v>203</v>
      </c>
      <c r="G131" s="31" t="s">
        <v>186</v>
      </c>
      <c r="H131" s="31">
        <v>3.1</v>
      </c>
      <c r="I131" s="39" t="s">
        <v>91</v>
      </c>
      <c r="J131" s="44">
        <v>3.4</v>
      </c>
      <c r="K131" s="41">
        <v>0</v>
      </c>
      <c r="L131" s="25">
        <f t="shared" si="1"/>
        <v>-3.4</v>
      </c>
      <c r="M131" s="19">
        <f>SUM(L4:L131)</f>
        <v>-31.705000000000002</v>
      </c>
      <c r="N131">
        <v>128</v>
      </c>
    </row>
    <row r="132" spans="1:14">
      <c r="A132" s="2">
        <v>129</v>
      </c>
      <c r="B132" s="28">
        <v>41384</v>
      </c>
      <c r="C132" s="31" t="s">
        <v>197</v>
      </c>
      <c r="D132" s="31" t="s">
        <v>10</v>
      </c>
      <c r="E132" s="31" t="s">
        <v>153</v>
      </c>
      <c r="F132" s="31" t="s">
        <v>178</v>
      </c>
      <c r="G132" s="31" t="s">
        <v>365</v>
      </c>
      <c r="H132" s="31">
        <v>2.78</v>
      </c>
      <c r="I132" s="39" t="s">
        <v>163</v>
      </c>
      <c r="J132" s="44">
        <v>3.8</v>
      </c>
      <c r="K132" s="41">
        <v>0</v>
      </c>
      <c r="L132" s="25">
        <f t="shared" si="1"/>
        <v>-3.8</v>
      </c>
      <c r="M132" s="19">
        <f>SUM(L4:L132)</f>
        <v>-35.505000000000003</v>
      </c>
      <c r="N132">
        <v>129</v>
      </c>
    </row>
    <row r="133" spans="1:14">
      <c r="A133" s="2">
        <v>130</v>
      </c>
      <c r="B133" s="28">
        <v>41384</v>
      </c>
      <c r="C133" s="31" t="s">
        <v>197</v>
      </c>
      <c r="D133" s="31" t="s">
        <v>10</v>
      </c>
      <c r="E133" s="31" t="s">
        <v>69</v>
      </c>
      <c r="F133" s="31" t="s">
        <v>366</v>
      </c>
      <c r="G133" s="31" t="s">
        <v>367</v>
      </c>
      <c r="H133" s="31">
        <v>2.5</v>
      </c>
      <c r="I133" s="39" t="s">
        <v>195</v>
      </c>
      <c r="J133" s="44">
        <v>4.0999999999999996</v>
      </c>
      <c r="K133" s="41">
        <v>0</v>
      </c>
      <c r="L133" s="25">
        <f t="shared" ref="L133:L196" si="2">K133-J133</f>
        <v>-4.0999999999999996</v>
      </c>
      <c r="M133" s="19">
        <f>SUM(L4:L133)</f>
        <v>-39.605000000000004</v>
      </c>
      <c r="N133">
        <v>130</v>
      </c>
    </row>
    <row r="134" spans="1:14">
      <c r="A134" s="2">
        <v>131</v>
      </c>
      <c r="B134" s="28">
        <v>41384</v>
      </c>
      <c r="C134" s="31" t="s">
        <v>197</v>
      </c>
      <c r="D134" s="31" t="s">
        <v>10</v>
      </c>
      <c r="E134" s="31" t="s">
        <v>69</v>
      </c>
      <c r="F134" s="31" t="s">
        <v>369</v>
      </c>
      <c r="G134" s="31" t="s">
        <v>368</v>
      </c>
      <c r="H134" s="7">
        <v>2.2999999999999998</v>
      </c>
      <c r="I134" s="33" t="s">
        <v>122</v>
      </c>
      <c r="J134" s="44">
        <v>4.4000000000000004</v>
      </c>
      <c r="K134" s="42">
        <v>10.119999999999999</v>
      </c>
      <c r="L134" s="25">
        <f t="shared" si="2"/>
        <v>5.7199999999999989</v>
      </c>
      <c r="M134" s="19">
        <f>SUM(L4:L134)</f>
        <v>-33.885000000000005</v>
      </c>
      <c r="N134">
        <v>131</v>
      </c>
    </row>
    <row r="135" spans="1:14">
      <c r="A135" s="2">
        <v>132</v>
      </c>
      <c r="B135" s="28">
        <v>41384</v>
      </c>
      <c r="C135" s="31" t="s">
        <v>98</v>
      </c>
      <c r="D135" s="31" t="s">
        <v>10</v>
      </c>
      <c r="E135" s="31" t="s">
        <v>99</v>
      </c>
      <c r="F135" s="31" t="s">
        <v>249</v>
      </c>
      <c r="G135" s="31" t="s">
        <v>370</v>
      </c>
      <c r="H135" s="7">
        <v>2.9</v>
      </c>
      <c r="I135" s="33" t="s">
        <v>163</v>
      </c>
      <c r="J135" s="44">
        <v>3.5</v>
      </c>
      <c r="K135" s="41">
        <v>0</v>
      </c>
      <c r="L135" s="25">
        <f t="shared" si="2"/>
        <v>-3.5</v>
      </c>
      <c r="M135" s="19">
        <f>SUM(L4:L135)</f>
        <v>-37.385000000000005</v>
      </c>
      <c r="N135">
        <v>132</v>
      </c>
    </row>
    <row r="136" spans="1:14">
      <c r="A136" s="2">
        <v>133</v>
      </c>
      <c r="B136" s="28">
        <v>41385</v>
      </c>
      <c r="C136" s="31" t="s">
        <v>197</v>
      </c>
      <c r="D136" s="31" t="s">
        <v>10</v>
      </c>
      <c r="E136" s="31" t="s">
        <v>110</v>
      </c>
      <c r="F136" s="31" t="s">
        <v>349</v>
      </c>
      <c r="G136" s="31" t="s">
        <v>112</v>
      </c>
      <c r="H136" s="7">
        <v>3.3</v>
      </c>
      <c r="I136" s="33" t="s">
        <v>138</v>
      </c>
      <c r="J136" s="44">
        <v>3.1</v>
      </c>
      <c r="K136" s="42">
        <v>10.23</v>
      </c>
      <c r="L136" s="25">
        <f t="shared" si="2"/>
        <v>7.1300000000000008</v>
      </c>
      <c r="M136" s="19">
        <f>SUM(L4:L136)</f>
        <v>-30.255000000000003</v>
      </c>
      <c r="N136">
        <v>133</v>
      </c>
    </row>
    <row r="137" spans="1:14">
      <c r="A137" s="2">
        <v>134</v>
      </c>
      <c r="B137" s="28">
        <v>41385</v>
      </c>
      <c r="C137" s="31" t="s">
        <v>197</v>
      </c>
      <c r="D137" s="31" t="s">
        <v>10</v>
      </c>
      <c r="E137" s="31" t="s">
        <v>371</v>
      </c>
      <c r="F137" s="31" t="s">
        <v>372</v>
      </c>
      <c r="G137" s="31" t="s">
        <v>373</v>
      </c>
      <c r="H137" s="7">
        <v>3.2</v>
      </c>
      <c r="I137" s="33" t="s">
        <v>119</v>
      </c>
      <c r="J137" s="35">
        <v>3.4</v>
      </c>
      <c r="K137" s="41">
        <v>0</v>
      </c>
      <c r="L137" s="25">
        <f t="shared" si="2"/>
        <v>-3.4</v>
      </c>
      <c r="M137" s="19">
        <f>SUM(L4:L137)</f>
        <v>-33.655000000000001</v>
      </c>
      <c r="N137">
        <v>134</v>
      </c>
    </row>
    <row r="138" spans="1:14">
      <c r="A138" s="2">
        <v>135</v>
      </c>
      <c r="B138" s="28">
        <v>41385</v>
      </c>
      <c r="C138" s="31" t="s">
        <v>197</v>
      </c>
      <c r="D138" s="31" t="s">
        <v>10</v>
      </c>
      <c r="E138" s="31" t="s">
        <v>371</v>
      </c>
      <c r="F138" s="31" t="s">
        <v>375</v>
      </c>
      <c r="G138" s="31" t="s">
        <v>374</v>
      </c>
      <c r="H138" s="7">
        <v>3.4</v>
      </c>
      <c r="I138" s="33" t="s">
        <v>119</v>
      </c>
      <c r="J138" s="35">
        <v>3.2</v>
      </c>
      <c r="K138" s="41">
        <v>0</v>
      </c>
      <c r="L138" s="25">
        <f t="shared" si="2"/>
        <v>-3.2</v>
      </c>
      <c r="M138" s="19">
        <f>SUM(L4:L138)</f>
        <v>-36.855000000000004</v>
      </c>
      <c r="N138">
        <v>135</v>
      </c>
    </row>
    <row r="139" spans="1:14">
      <c r="A139" s="2">
        <v>136</v>
      </c>
      <c r="B139" s="28">
        <v>41385</v>
      </c>
      <c r="C139" s="31" t="s">
        <v>197</v>
      </c>
      <c r="D139" s="31" t="s">
        <v>10</v>
      </c>
      <c r="E139" s="31" t="s">
        <v>371</v>
      </c>
      <c r="F139" s="31" t="s">
        <v>376</v>
      </c>
      <c r="G139" s="31" t="s">
        <v>377</v>
      </c>
      <c r="H139" s="7">
        <v>3.4</v>
      </c>
      <c r="I139" s="33" t="s">
        <v>121</v>
      </c>
      <c r="J139" s="35">
        <v>3.2</v>
      </c>
      <c r="K139" s="36">
        <v>10.88</v>
      </c>
      <c r="L139" s="25">
        <f t="shared" si="2"/>
        <v>7.6800000000000006</v>
      </c>
      <c r="M139" s="19">
        <f>SUM(L4:L139)</f>
        <v>-29.175000000000004</v>
      </c>
      <c r="N139">
        <v>136</v>
      </c>
    </row>
    <row r="140" spans="1:14">
      <c r="A140" s="2">
        <v>137</v>
      </c>
      <c r="B140" s="28">
        <v>41385</v>
      </c>
      <c r="C140" s="31" t="s">
        <v>197</v>
      </c>
      <c r="D140" s="31" t="s">
        <v>10</v>
      </c>
      <c r="E140" s="31" t="s">
        <v>72</v>
      </c>
      <c r="F140" s="31" t="s">
        <v>378</v>
      </c>
      <c r="G140" s="31" t="s">
        <v>74</v>
      </c>
      <c r="H140" s="7">
        <v>3.2</v>
      </c>
      <c r="I140" s="33" t="s">
        <v>195</v>
      </c>
      <c r="J140" s="35">
        <v>3.4</v>
      </c>
      <c r="K140" s="35">
        <v>0</v>
      </c>
      <c r="L140" s="25">
        <f t="shared" si="2"/>
        <v>-3.4</v>
      </c>
      <c r="M140" s="19">
        <f>SUM(L4:L140)</f>
        <v>-32.575000000000003</v>
      </c>
      <c r="N140">
        <v>137</v>
      </c>
    </row>
    <row r="141" spans="1:14">
      <c r="A141" s="2">
        <v>138</v>
      </c>
      <c r="B141" s="28">
        <v>41385</v>
      </c>
      <c r="C141" s="31" t="s">
        <v>197</v>
      </c>
      <c r="D141" s="31" t="s">
        <v>10</v>
      </c>
      <c r="E141" s="31" t="s">
        <v>113</v>
      </c>
      <c r="F141" s="31" t="s">
        <v>379</v>
      </c>
      <c r="G141" s="31" t="s">
        <v>380</v>
      </c>
      <c r="H141" s="7">
        <v>4.25</v>
      </c>
      <c r="I141" s="33" t="s">
        <v>138</v>
      </c>
      <c r="J141" s="35">
        <v>2.8</v>
      </c>
      <c r="K141" s="36">
        <v>11.9</v>
      </c>
      <c r="L141" s="25">
        <f t="shared" si="2"/>
        <v>9.1000000000000014</v>
      </c>
      <c r="M141" s="19">
        <f>SUM(L4:L141)</f>
        <v>-23.475000000000001</v>
      </c>
      <c r="N141">
        <v>138</v>
      </c>
    </row>
    <row r="142" spans="1:14">
      <c r="A142" s="2">
        <v>139</v>
      </c>
      <c r="B142" s="28">
        <v>41385</v>
      </c>
      <c r="C142" s="31" t="s">
        <v>197</v>
      </c>
      <c r="D142" s="31" t="s">
        <v>10</v>
      </c>
      <c r="E142" s="31" t="s">
        <v>125</v>
      </c>
      <c r="F142" s="31" t="s">
        <v>381</v>
      </c>
      <c r="G142" s="31" t="s">
        <v>382</v>
      </c>
      <c r="H142" s="7">
        <v>3.1</v>
      </c>
      <c r="I142" s="33" t="s">
        <v>94</v>
      </c>
      <c r="J142" s="35">
        <v>3.5</v>
      </c>
      <c r="K142" s="35">
        <v>0</v>
      </c>
      <c r="L142" s="25">
        <f t="shared" si="2"/>
        <v>-3.5</v>
      </c>
      <c r="M142" s="19">
        <f>SUM(L4:L142)</f>
        <v>-26.975000000000001</v>
      </c>
      <c r="N142">
        <v>139</v>
      </c>
    </row>
    <row r="143" spans="1:14">
      <c r="A143" s="2">
        <v>140</v>
      </c>
      <c r="B143" s="28">
        <v>41386</v>
      </c>
      <c r="C143" s="31" t="s">
        <v>197</v>
      </c>
      <c r="D143" s="31" t="s">
        <v>10</v>
      </c>
      <c r="E143" s="31" t="s">
        <v>153</v>
      </c>
      <c r="F143" s="31" t="s">
        <v>384</v>
      </c>
      <c r="G143" s="31" t="s">
        <v>365</v>
      </c>
      <c r="H143" s="7">
        <v>2.7</v>
      </c>
      <c r="I143" s="33" t="s">
        <v>93</v>
      </c>
      <c r="J143" s="35">
        <v>3.8</v>
      </c>
      <c r="K143" s="35">
        <v>0</v>
      </c>
      <c r="L143" s="25">
        <f t="shared" si="2"/>
        <v>-3.8</v>
      </c>
      <c r="M143" s="19">
        <f>SUM(L4:L143)</f>
        <v>-30.775000000000002</v>
      </c>
      <c r="N143">
        <v>140</v>
      </c>
    </row>
    <row r="144" spans="1:14">
      <c r="A144" s="2">
        <v>141</v>
      </c>
      <c r="B144" s="28">
        <v>41388</v>
      </c>
      <c r="C144" s="31" t="s">
        <v>98</v>
      </c>
      <c r="D144" s="31" t="s">
        <v>10</v>
      </c>
      <c r="E144" s="31" t="s">
        <v>352</v>
      </c>
      <c r="F144" s="31" t="s">
        <v>385</v>
      </c>
      <c r="G144" s="31" t="s">
        <v>386</v>
      </c>
      <c r="H144" s="7">
        <v>3.05</v>
      </c>
      <c r="I144" s="33" t="s">
        <v>89</v>
      </c>
      <c r="J144" s="35">
        <v>3.5</v>
      </c>
      <c r="K144" s="35">
        <v>0</v>
      </c>
      <c r="L144" s="25">
        <f t="shared" si="2"/>
        <v>-3.5</v>
      </c>
      <c r="M144" s="19">
        <f>SUM(L4:L144)</f>
        <v>-34.275000000000006</v>
      </c>
      <c r="N144">
        <v>141</v>
      </c>
    </row>
    <row r="145" spans="1:14">
      <c r="A145" s="2">
        <v>142</v>
      </c>
      <c r="B145" s="28">
        <v>41391</v>
      </c>
      <c r="C145" s="31" t="s">
        <v>197</v>
      </c>
      <c r="D145" s="31" t="s">
        <v>10</v>
      </c>
      <c r="E145" s="31" t="s">
        <v>72</v>
      </c>
      <c r="F145" s="31" t="s">
        <v>170</v>
      </c>
      <c r="G145" s="31" t="s">
        <v>73</v>
      </c>
      <c r="H145" s="7">
        <v>3.4</v>
      </c>
      <c r="I145" s="33" t="s">
        <v>195</v>
      </c>
      <c r="J145" s="35">
        <v>3.2</v>
      </c>
      <c r="K145" s="35">
        <v>0</v>
      </c>
      <c r="L145" s="25">
        <f t="shared" si="2"/>
        <v>-3.2</v>
      </c>
      <c r="M145" s="19">
        <f>SUM(L4:L145)</f>
        <v>-37.475000000000009</v>
      </c>
      <c r="N145">
        <v>142</v>
      </c>
    </row>
    <row r="146" spans="1:14">
      <c r="A146" s="2">
        <v>143</v>
      </c>
      <c r="B146" s="28">
        <v>41392</v>
      </c>
      <c r="C146" s="31" t="s">
        <v>214</v>
      </c>
      <c r="D146" s="31" t="s">
        <v>10</v>
      </c>
      <c r="E146" s="31" t="s">
        <v>81</v>
      </c>
      <c r="F146" s="31" t="s">
        <v>82</v>
      </c>
      <c r="G146" s="31" t="s">
        <v>226</v>
      </c>
      <c r="H146" s="7">
        <v>4.05</v>
      </c>
      <c r="I146" s="33" t="s">
        <v>195</v>
      </c>
      <c r="J146" s="35">
        <v>2.9</v>
      </c>
      <c r="K146" s="35">
        <v>0</v>
      </c>
      <c r="L146" s="25">
        <f t="shared" si="2"/>
        <v>-2.9</v>
      </c>
      <c r="M146" s="19">
        <f>SUM(L4:L146)</f>
        <v>-40.375000000000007</v>
      </c>
      <c r="N146">
        <v>143</v>
      </c>
    </row>
    <row r="147" spans="1:14">
      <c r="A147" s="2">
        <v>144</v>
      </c>
      <c r="B147" s="28">
        <v>41392</v>
      </c>
      <c r="C147" s="31" t="s">
        <v>214</v>
      </c>
      <c r="D147" s="31" t="s">
        <v>10</v>
      </c>
      <c r="E147" s="31" t="s">
        <v>81</v>
      </c>
      <c r="F147" s="31" t="s">
        <v>95</v>
      </c>
      <c r="G147" s="31" t="s">
        <v>83</v>
      </c>
      <c r="H147" s="7">
        <v>4</v>
      </c>
      <c r="I147" s="34" t="s">
        <v>166</v>
      </c>
      <c r="J147" s="35">
        <v>2.9</v>
      </c>
      <c r="K147" s="35">
        <v>0</v>
      </c>
      <c r="L147" s="25">
        <f t="shared" si="2"/>
        <v>-2.9</v>
      </c>
      <c r="M147" s="19">
        <f>SUM(L4:L147)</f>
        <v>-43.275000000000006</v>
      </c>
      <c r="N147">
        <v>144</v>
      </c>
    </row>
    <row r="148" spans="1:14">
      <c r="A148" s="2">
        <v>145</v>
      </c>
      <c r="B148" s="28">
        <v>41392</v>
      </c>
      <c r="C148" s="31" t="s">
        <v>197</v>
      </c>
      <c r="D148" s="31" t="s">
        <v>10</v>
      </c>
      <c r="E148" s="31" t="s">
        <v>335</v>
      </c>
      <c r="F148" s="31" t="s">
        <v>387</v>
      </c>
      <c r="G148" s="31" t="s">
        <v>348</v>
      </c>
      <c r="H148" s="7">
        <v>3.4</v>
      </c>
      <c r="I148" s="33" t="s">
        <v>87</v>
      </c>
      <c r="J148" s="35">
        <v>3.2</v>
      </c>
      <c r="K148" s="35">
        <v>0</v>
      </c>
      <c r="L148" s="25">
        <f t="shared" si="2"/>
        <v>-3.2</v>
      </c>
      <c r="M148" s="19">
        <f>SUM(L4:L148)</f>
        <v>-46.475000000000009</v>
      </c>
      <c r="N148">
        <v>145</v>
      </c>
    </row>
    <row r="149" spans="1:14">
      <c r="A149" s="2">
        <v>146</v>
      </c>
      <c r="B149" s="28">
        <v>41392</v>
      </c>
      <c r="C149" s="31" t="s">
        <v>214</v>
      </c>
      <c r="D149" s="31" t="s">
        <v>10</v>
      </c>
      <c r="E149" s="31" t="s">
        <v>75</v>
      </c>
      <c r="F149" s="31" t="s">
        <v>191</v>
      </c>
      <c r="G149" s="31" t="s">
        <v>203</v>
      </c>
      <c r="H149" s="7">
        <v>3.65</v>
      </c>
      <c r="I149" s="33" t="s">
        <v>90</v>
      </c>
      <c r="J149" s="35">
        <v>3.1</v>
      </c>
      <c r="K149" s="35">
        <v>0</v>
      </c>
      <c r="L149" s="25">
        <f t="shared" si="2"/>
        <v>-3.1</v>
      </c>
      <c r="M149" s="19">
        <f>SUM(L4:L149)</f>
        <v>-49.57500000000001</v>
      </c>
      <c r="N149">
        <v>146</v>
      </c>
    </row>
    <row r="150" spans="1:14">
      <c r="A150" s="2">
        <v>147</v>
      </c>
      <c r="B150" s="28">
        <v>41392</v>
      </c>
      <c r="C150" s="31" t="s">
        <v>197</v>
      </c>
      <c r="D150" s="31" t="s">
        <v>10</v>
      </c>
      <c r="E150" s="31" t="s">
        <v>153</v>
      </c>
      <c r="F150" s="31" t="s">
        <v>177</v>
      </c>
      <c r="G150" s="31" t="s">
        <v>388</v>
      </c>
      <c r="H150" s="7">
        <v>2.42</v>
      </c>
      <c r="I150" s="33" t="s">
        <v>121</v>
      </c>
      <c r="J150" s="35">
        <v>4.0999999999999996</v>
      </c>
      <c r="K150" s="36">
        <v>9.9</v>
      </c>
      <c r="L150" s="25">
        <f t="shared" si="2"/>
        <v>5.8000000000000007</v>
      </c>
      <c r="M150" s="19">
        <f>SUM(L4:L150)</f>
        <v>-43.775000000000006</v>
      </c>
      <c r="N150">
        <v>147</v>
      </c>
    </row>
    <row r="151" spans="1:14">
      <c r="A151" s="2">
        <v>148</v>
      </c>
      <c r="B151" s="28">
        <v>41392</v>
      </c>
      <c r="C151" s="31" t="s">
        <v>197</v>
      </c>
      <c r="D151" s="31" t="s">
        <v>10</v>
      </c>
      <c r="E151" s="31" t="s">
        <v>110</v>
      </c>
      <c r="F151" s="31" t="s">
        <v>355</v>
      </c>
      <c r="G151" s="31" t="s">
        <v>350</v>
      </c>
      <c r="H151" s="7">
        <v>2.78</v>
      </c>
      <c r="I151" s="33" t="s">
        <v>138</v>
      </c>
      <c r="J151" s="35">
        <v>3.8</v>
      </c>
      <c r="K151" s="36">
        <v>10.5</v>
      </c>
      <c r="L151" s="25">
        <f t="shared" si="2"/>
        <v>6.7</v>
      </c>
      <c r="M151" s="19">
        <f>SUM(L4:L151)</f>
        <v>-37.075000000000003</v>
      </c>
      <c r="N151">
        <v>148</v>
      </c>
    </row>
    <row r="152" spans="1:14">
      <c r="A152" s="2">
        <v>149</v>
      </c>
      <c r="B152" s="28">
        <v>41393</v>
      </c>
      <c r="C152" s="31" t="s">
        <v>197</v>
      </c>
      <c r="D152" s="31" t="s">
        <v>10</v>
      </c>
      <c r="E152" s="31" t="s">
        <v>110</v>
      </c>
      <c r="F152" s="31" t="s">
        <v>389</v>
      </c>
      <c r="G152" s="31" t="s">
        <v>265</v>
      </c>
      <c r="H152" s="7">
        <v>2.85</v>
      </c>
      <c r="I152" s="33" t="s">
        <v>136</v>
      </c>
      <c r="J152" s="35">
        <v>3.7</v>
      </c>
      <c r="K152" s="36">
        <v>10.5</v>
      </c>
      <c r="L152" s="25">
        <f t="shared" si="2"/>
        <v>6.8</v>
      </c>
      <c r="M152" s="19">
        <f>SUM(L4:L152)</f>
        <v>-30.275000000000002</v>
      </c>
      <c r="N152">
        <v>149</v>
      </c>
    </row>
    <row r="153" spans="1:14">
      <c r="A153" s="2">
        <v>150</v>
      </c>
      <c r="B153" s="28">
        <v>41394</v>
      </c>
      <c r="C153" s="31" t="s">
        <v>214</v>
      </c>
      <c r="D153" s="31" t="s">
        <v>10</v>
      </c>
      <c r="E153" s="31" t="s">
        <v>81</v>
      </c>
      <c r="F153" s="31" t="s">
        <v>82</v>
      </c>
      <c r="G153" s="31" t="s">
        <v>96</v>
      </c>
      <c r="H153" s="7">
        <v>3.5</v>
      </c>
      <c r="I153" s="33" t="s">
        <v>91</v>
      </c>
      <c r="J153" s="35">
        <v>3.2</v>
      </c>
      <c r="K153" s="35">
        <v>0</v>
      </c>
      <c r="L153" s="25">
        <f t="shared" si="2"/>
        <v>-3.2</v>
      </c>
      <c r="M153" s="19">
        <f>SUM(L4:L153)</f>
        <v>-33.475000000000001</v>
      </c>
      <c r="N153">
        <v>150</v>
      </c>
    </row>
    <row r="154" spans="1:14">
      <c r="A154" s="2">
        <v>151</v>
      </c>
      <c r="B154" s="28">
        <v>41398</v>
      </c>
      <c r="C154" s="31" t="s">
        <v>214</v>
      </c>
      <c r="D154" s="31" t="s">
        <v>10</v>
      </c>
      <c r="E154" s="31" t="s">
        <v>81</v>
      </c>
      <c r="F154" s="31" t="s">
        <v>83</v>
      </c>
      <c r="G154" s="31" t="s">
        <v>187</v>
      </c>
      <c r="H154" s="7">
        <v>3.25</v>
      </c>
      <c r="I154" s="33"/>
      <c r="J154" s="35">
        <v>3.4</v>
      </c>
      <c r="K154" s="35">
        <v>0</v>
      </c>
      <c r="L154" s="25">
        <f t="shared" si="2"/>
        <v>-3.4</v>
      </c>
      <c r="M154" s="19">
        <f>SUM(L4:L154)</f>
        <v>-36.875</v>
      </c>
      <c r="N154">
        <v>151</v>
      </c>
    </row>
    <row r="155" spans="1:14">
      <c r="A155" s="2">
        <v>152</v>
      </c>
      <c r="B155" s="28">
        <v>41398</v>
      </c>
      <c r="C155" s="31" t="s">
        <v>197</v>
      </c>
      <c r="D155" s="31" t="s">
        <v>10</v>
      </c>
      <c r="E155" s="31" t="s">
        <v>80</v>
      </c>
      <c r="F155" s="31" t="s">
        <v>390</v>
      </c>
      <c r="G155" s="31" t="s">
        <v>362</v>
      </c>
      <c r="H155" s="7">
        <v>2.2000000000000002</v>
      </c>
      <c r="I155" s="33"/>
      <c r="J155" s="35">
        <v>4.5999999999999996</v>
      </c>
      <c r="K155" s="35">
        <v>0</v>
      </c>
      <c r="L155" s="25">
        <f t="shared" si="2"/>
        <v>-4.5999999999999996</v>
      </c>
      <c r="M155" s="19">
        <f>SUM(L4:L155)</f>
        <v>-41.475000000000001</v>
      </c>
      <c r="N155">
        <v>152</v>
      </c>
    </row>
    <row r="156" spans="1:14">
      <c r="A156" s="2">
        <v>153</v>
      </c>
      <c r="B156" s="28">
        <v>41398</v>
      </c>
      <c r="C156" s="31" t="s">
        <v>197</v>
      </c>
      <c r="D156" s="31" t="s">
        <v>10</v>
      </c>
      <c r="E156" s="31" t="s">
        <v>113</v>
      </c>
      <c r="F156" s="31" t="s">
        <v>117</v>
      </c>
      <c r="G156" s="31" t="s">
        <v>391</v>
      </c>
      <c r="H156" s="7">
        <v>3.45</v>
      </c>
      <c r="I156" s="33"/>
      <c r="J156" s="35">
        <v>3.2</v>
      </c>
      <c r="K156" s="35">
        <v>0</v>
      </c>
      <c r="L156" s="25">
        <f t="shared" si="2"/>
        <v>-3.2</v>
      </c>
      <c r="M156" s="19">
        <f>SUM(L4:L156)</f>
        <v>-44.675000000000004</v>
      </c>
      <c r="N156">
        <v>153</v>
      </c>
    </row>
    <row r="157" spans="1:14">
      <c r="A157" s="2">
        <v>154</v>
      </c>
      <c r="B157" s="28">
        <v>41405</v>
      </c>
      <c r="C157" s="31" t="s">
        <v>197</v>
      </c>
      <c r="D157" s="31" t="s">
        <v>10</v>
      </c>
      <c r="E157" s="31" t="s">
        <v>343</v>
      </c>
      <c r="F157" s="31" t="s">
        <v>392</v>
      </c>
      <c r="G157" s="31" t="s">
        <v>393</v>
      </c>
      <c r="H157" s="7">
        <v>2.96</v>
      </c>
      <c r="I157" s="33"/>
      <c r="J157" s="35">
        <v>3.5</v>
      </c>
      <c r="K157" s="35">
        <v>0</v>
      </c>
      <c r="L157" s="25">
        <f t="shared" si="2"/>
        <v>-3.5</v>
      </c>
      <c r="M157" s="19">
        <f>SUM(L4:L157)</f>
        <v>-48.175000000000004</v>
      </c>
      <c r="N157">
        <v>154</v>
      </c>
    </row>
    <row r="158" spans="1:14">
      <c r="A158" s="2">
        <v>155</v>
      </c>
      <c r="B158" s="28">
        <v>41406</v>
      </c>
      <c r="C158" s="31" t="s">
        <v>394</v>
      </c>
      <c r="D158" s="31" t="s">
        <v>10</v>
      </c>
      <c r="E158" s="31" t="s">
        <v>395</v>
      </c>
      <c r="F158" s="31" t="s">
        <v>396</v>
      </c>
      <c r="G158" s="31" t="s">
        <v>397</v>
      </c>
      <c r="H158" s="7">
        <v>1.72</v>
      </c>
      <c r="I158" s="33" t="s">
        <v>205</v>
      </c>
      <c r="J158" s="35">
        <v>7</v>
      </c>
      <c r="K158" s="36">
        <v>12.04</v>
      </c>
      <c r="L158" s="25">
        <f t="shared" si="2"/>
        <v>5.0399999999999991</v>
      </c>
      <c r="M158" s="19">
        <f>SUM(L4:L158)</f>
        <v>-43.135000000000005</v>
      </c>
      <c r="N158">
        <v>155</v>
      </c>
    </row>
    <row r="159" spans="1:14">
      <c r="A159" s="2">
        <v>156</v>
      </c>
      <c r="B159" s="28">
        <v>41406</v>
      </c>
      <c r="C159" s="31" t="s">
        <v>394</v>
      </c>
      <c r="D159" s="31" t="s">
        <v>10</v>
      </c>
      <c r="E159" s="31" t="s">
        <v>395</v>
      </c>
      <c r="F159" s="31" t="s">
        <v>398</v>
      </c>
      <c r="G159" s="31" t="s">
        <v>399</v>
      </c>
      <c r="H159" s="7">
        <v>1.59</v>
      </c>
      <c r="I159" s="33" t="s">
        <v>166</v>
      </c>
      <c r="J159" s="35">
        <v>9</v>
      </c>
      <c r="K159" s="36">
        <v>14.31</v>
      </c>
      <c r="L159" s="25">
        <f t="shared" si="2"/>
        <v>5.3100000000000005</v>
      </c>
      <c r="M159" s="19">
        <f>SUM(L4:L159)</f>
        <v>-37.825000000000003</v>
      </c>
      <c r="N159">
        <v>156</v>
      </c>
    </row>
    <row r="160" spans="1:14">
      <c r="A160" s="2">
        <v>157</v>
      </c>
      <c r="B160" s="28">
        <v>41406</v>
      </c>
      <c r="C160" s="31" t="s">
        <v>197</v>
      </c>
      <c r="D160" s="31" t="s">
        <v>10</v>
      </c>
      <c r="E160" s="31" t="s">
        <v>72</v>
      </c>
      <c r="F160" s="31" t="s">
        <v>73</v>
      </c>
      <c r="G160" s="31" t="s">
        <v>400</v>
      </c>
      <c r="H160" s="7">
        <v>2.7</v>
      </c>
      <c r="I160" s="33" t="s">
        <v>122</v>
      </c>
      <c r="J160" s="35">
        <v>3.8</v>
      </c>
      <c r="K160" s="36">
        <v>10.26</v>
      </c>
      <c r="L160" s="25">
        <f t="shared" si="2"/>
        <v>6.46</v>
      </c>
      <c r="M160" s="19">
        <f>SUM(L4:L160)</f>
        <v>-31.365000000000002</v>
      </c>
      <c r="N160">
        <v>157</v>
      </c>
    </row>
    <row r="161" spans="1:14">
      <c r="A161" s="2">
        <v>158</v>
      </c>
      <c r="B161" s="28">
        <v>41412</v>
      </c>
      <c r="C161" s="31" t="s">
        <v>197</v>
      </c>
      <c r="D161" s="31" t="s">
        <v>10</v>
      </c>
      <c r="E161" s="31" t="s">
        <v>343</v>
      </c>
      <c r="F161" s="31" t="s">
        <v>345</v>
      </c>
      <c r="G161" s="31" t="s">
        <v>401</v>
      </c>
      <c r="H161" s="7">
        <v>2.44</v>
      </c>
      <c r="I161" s="33" t="s">
        <v>121</v>
      </c>
      <c r="J161" s="35">
        <v>4.2</v>
      </c>
      <c r="K161" s="36">
        <v>10.24</v>
      </c>
      <c r="L161" s="25">
        <f t="shared" si="2"/>
        <v>6.04</v>
      </c>
      <c r="M161" s="19">
        <f>SUM(L4:L161)</f>
        <v>-25.325000000000003</v>
      </c>
      <c r="N161">
        <v>158</v>
      </c>
    </row>
    <row r="162" spans="1:14">
      <c r="A162" s="2">
        <v>159</v>
      </c>
      <c r="B162" s="28">
        <v>41412</v>
      </c>
      <c r="C162" s="31" t="s">
        <v>197</v>
      </c>
      <c r="D162" s="31" t="s">
        <v>10</v>
      </c>
      <c r="E162" s="31" t="s">
        <v>343</v>
      </c>
      <c r="F162" s="31" t="s">
        <v>402</v>
      </c>
      <c r="G162" s="31" t="s">
        <v>403</v>
      </c>
      <c r="H162" s="7">
        <v>2.14</v>
      </c>
      <c r="I162" s="33" t="s">
        <v>121</v>
      </c>
      <c r="J162" s="44">
        <v>4.8</v>
      </c>
      <c r="K162" s="36">
        <v>10.3</v>
      </c>
      <c r="L162" s="25">
        <f t="shared" si="2"/>
        <v>5.5000000000000009</v>
      </c>
      <c r="M162" s="19">
        <f>SUM(L4:L162)</f>
        <v>-19.825000000000003</v>
      </c>
      <c r="N162">
        <v>159</v>
      </c>
    </row>
    <row r="163" spans="1:14">
      <c r="A163" s="2">
        <v>160</v>
      </c>
      <c r="B163" s="28">
        <v>41416</v>
      </c>
      <c r="C163" s="31" t="s">
        <v>197</v>
      </c>
      <c r="D163" s="31" t="s">
        <v>10</v>
      </c>
      <c r="E163" s="31" t="s">
        <v>343</v>
      </c>
      <c r="F163" s="31" t="s">
        <v>345</v>
      </c>
      <c r="G163" s="31" t="s">
        <v>393</v>
      </c>
      <c r="H163" s="7">
        <v>2.56</v>
      </c>
      <c r="I163" s="7" t="s">
        <v>253</v>
      </c>
      <c r="J163" s="44">
        <v>4.0999999999999996</v>
      </c>
      <c r="K163" s="36">
        <v>10.5</v>
      </c>
      <c r="L163" s="25">
        <f t="shared" si="2"/>
        <v>6.4</v>
      </c>
      <c r="M163" s="19">
        <f>SUM(L4:L163)</f>
        <v>-13.425000000000002</v>
      </c>
      <c r="N163">
        <v>160</v>
      </c>
    </row>
    <row r="164" spans="1:14">
      <c r="A164" s="2">
        <v>161</v>
      </c>
      <c r="B164" s="28">
        <v>41416</v>
      </c>
      <c r="C164" s="31" t="s">
        <v>197</v>
      </c>
      <c r="D164" s="31" t="s">
        <v>10</v>
      </c>
      <c r="E164" s="31" t="s">
        <v>404</v>
      </c>
      <c r="F164" s="31" t="s">
        <v>405</v>
      </c>
      <c r="G164" s="31" t="s">
        <v>406</v>
      </c>
      <c r="H164" s="7">
        <v>3.1</v>
      </c>
      <c r="I164" s="33" t="s">
        <v>89</v>
      </c>
      <c r="J164" s="44">
        <v>3.5</v>
      </c>
      <c r="K164" s="35">
        <v>0</v>
      </c>
      <c r="L164" s="25">
        <f t="shared" si="2"/>
        <v>-3.5</v>
      </c>
      <c r="M164" s="19">
        <f>SUM(L4:L164)</f>
        <v>-16.925000000000004</v>
      </c>
      <c r="N164">
        <v>161</v>
      </c>
    </row>
    <row r="165" spans="1:14">
      <c r="A165" s="2">
        <v>162</v>
      </c>
      <c r="B165" s="28">
        <v>41417</v>
      </c>
      <c r="C165" s="31" t="s">
        <v>197</v>
      </c>
      <c r="D165" s="31" t="s">
        <v>10</v>
      </c>
      <c r="E165" s="31" t="s">
        <v>407</v>
      </c>
      <c r="F165" s="31" t="s">
        <v>408</v>
      </c>
      <c r="G165" s="31" t="s">
        <v>409</v>
      </c>
      <c r="H165" s="7">
        <v>3.12</v>
      </c>
      <c r="I165" s="33" t="s">
        <v>340</v>
      </c>
      <c r="J165" s="44">
        <v>3.4</v>
      </c>
      <c r="K165" s="36">
        <v>10.68</v>
      </c>
      <c r="L165" s="25">
        <f t="shared" si="2"/>
        <v>7.2799999999999994</v>
      </c>
      <c r="M165" s="19">
        <f>SUM(L4:L165)</f>
        <v>-9.6450000000000049</v>
      </c>
      <c r="N165">
        <v>162</v>
      </c>
    </row>
    <row r="166" spans="1:14">
      <c r="A166" s="2">
        <v>163</v>
      </c>
      <c r="B166" s="28">
        <v>41420</v>
      </c>
      <c r="C166" s="31" t="s">
        <v>197</v>
      </c>
      <c r="D166" s="31" t="s">
        <v>10</v>
      </c>
      <c r="E166" s="31" t="s">
        <v>410</v>
      </c>
      <c r="F166" s="31" t="s">
        <v>375</v>
      </c>
      <c r="G166" s="31" t="s">
        <v>413</v>
      </c>
      <c r="H166" s="7">
        <v>3.2</v>
      </c>
      <c r="I166" s="33" t="s">
        <v>89</v>
      </c>
      <c r="J166" s="44">
        <v>3.4</v>
      </c>
      <c r="K166" s="35">
        <v>0</v>
      </c>
      <c r="L166" s="25">
        <f t="shared" si="2"/>
        <v>-3.4</v>
      </c>
      <c r="M166" s="19">
        <f>SUM(L4:L166)</f>
        <v>-13.045000000000005</v>
      </c>
      <c r="N166">
        <v>163</v>
      </c>
    </row>
    <row r="167" spans="1:14">
      <c r="A167" s="2">
        <v>164</v>
      </c>
      <c r="B167" s="28">
        <v>41421</v>
      </c>
      <c r="C167" s="31" t="s">
        <v>197</v>
      </c>
      <c r="D167" s="31" t="s">
        <v>10</v>
      </c>
      <c r="E167" s="31" t="s">
        <v>407</v>
      </c>
      <c r="F167" s="31" t="s">
        <v>411</v>
      </c>
      <c r="G167" s="31" t="s">
        <v>412</v>
      </c>
      <c r="H167" s="7">
        <v>3</v>
      </c>
      <c r="I167" s="33" t="s">
        <v>138</v>
      </c>
      <c r="J167" s="35">
        <v>3.5</v>
      </c>
      <c r="K167" s="36">
        <v>10.5</v>
      </c>
      <c r="L167" s="25">
        <f t="shared" si="2"/>
        <v>7</v>
      </c>
      <c r="M167" s="19">
        <f>SUM(L4:L167)</f>
        <v>-6.0450000000000053</v>
      </c>
      <c r="N167">
        <v>164</v>
      </c>
    </row>
    <row r="168" spans="1:14">
      <c r="A168" s="2">
        <v>165</v>
      </c>
      <c r="B168" s="28">
        <v>41424</v>
      </c>
      <c r="C168" s="31" t="s">
        <v>197</v>
      </c>
      <c r="D168" s="31" t="s">
        <v>10</v>
      </c>
      <c r="E168" s="31" t="s">
        <v>404</v>
      </c>
      <c r="F168" s="31" t="s">
        <v>414</v>
      </c>
      <c r="G168" s="31" t="s">
        <v>405</v>
      </c>
      <c r="H168" s="7">
        <v>3.2</v>
      </c>
      <c r="I168" s="33" t="s">
        <v>89</v>
      </c>
      <c r="J168" s="35">
        <v>3.4</v>
      </c>
      <c r="K168" s="35">
        <v>0</v>
      </c>
      <c r="L168" s="25">
        <f t="shared" si="2"/>
        <v>-3.4</v>
      </c>
      <c r="M168" s="19">
        <f>SUM(L4:L168)</f>
        <v>-9.4450000000000056</v>
      </c>
      <c r="N168">
        <v>165</v>
      </c>
    </row>
    <row r="169" spans="1:14">
      <c r="A169" s="2">
        <v>166</v>
      </c>
      <c r="B169" s="28">
        <v>41426</v>
      </c>
      <c r="C169" s="31" t="s">
        <v>197</v>
      </c>
      <c r="D169" s="31" t="s">
        <v>10</v>
      </c>
      <c r="E169" s="31" t="s">
        <v>332</v>
      </c>
      <c r="F169" s="31" t="s">
        <v>415</v>
      </c>
      <c r="G169" s="31" t="s">
        <v>416</v>
      </c>
      <c r="H169" s="7">
        <v>2.92</v>
      </c>
      <c r="I169" s="33" t="s">
        <v>122</v>
      </c>
      <c r="J169" s="35">
        <v>3.5</v>
      </c>
      <c r="K169" s="36">
        <v>10.220000000000001</v>
      </c>
      <c r="L169" s="25">
        <f t="shared" si="2"/>
        <v>6.7200000000000006</v>
      </c>
      <c r="M169" s="19">
        <f>SUM(L4:L169)</f>
        <v>-2.725000000000005</v>
      </c>
      <c r="N169">
        <v>166</v>
      </c>
    </row>
    <row r="170" spans="1:14">
      <c r="A170" s="2">
        <v>167</v>
      </c>
      <c r="B170" s="28">
        <v>41440</v>
      </c>
      <c r="C170" s="31" t="s">
        <v>197</v>
      </c>
      <c r="D170" s="31" t="s">
        <v>10</v>
      </c>
      <c r="E170" s="31" t="s">
        <v>407</v>
      </c>
      <c r="F170" s="31" t="s">
        <v>408</v>
      </c>
      <c r="G170" s="31" t="s">
        <v>417</v>
      </c>
      <c r="H170" s="7">
        <v>2.42</v>
      </c>
      <c r="I170" s="33" t="s">
        <v>204</v>
      </c>
      <c r="J170" s="35">
        <v>4.2</v>
      </c>
      <c r="K170" s="42">
        <v>10.16</v>
      </c>
      <c r="L170" s="25">
        <f t="shared" si="2"/>
        <v>5.96</v>
      </c>
      <c r="M170" s="19">
        <f>SUM(L4:L170)</f>
        <v>3.234999999999995</v>
      </c>
      <c r="N170">
        <v>167</v>
      </c>
    </row>
    <row r="171" spans="1:14">
      <c r="A171" s="2">
        <v>168</v>
      </c>
      <c r="B171" s="28">
        <v>41440</v>
      </c>
      <c r="C171" s="31" t="s">
        <v>197</v>
      </c>
      <c r="D171" s="31" t="s">
        <v>10</v>
      </c>
      <c r="E171" s="31" t="s">
        <v>407</v>
      </c>
      <c r="F171" s="31" t="s">
        <v>411</v>
      </c>
      <c r="G171" s="31" t="s">
        <v>418</v>
      </c>
      <c r="H171" s="7">
        <v>3.1</v>
      </c>
      <c r="I171" s="33" t="s">
        <v>195</v>
      </c>
      <c r="J171" s="35">
        <v>3.15</v>
      </c>
      <c r="K171" s="41">
        <v>0</v>
      </c>
      <c r="L171" s="25">
        <f t="shared" si="2"/>
        <v>-3.15</v>
      </c>
      <c r="M171" s="19">
        <f>SUM(L4:L171)</f>
        <v>8.4999999999995079E-2</v>
      </c>
      <c r="N171">
        <v>168</v>
      </c>
    </row>
    <row r="172" spans="1:14">
      <c r="A172" s="2">
        <v>169</v>
      </c>
      <c r="B172" s="28">
        <v>41440</v>
      </c>
      <c r="C172" s="31" t="s">
        <v>197</v>
      </c>
      <c r="D172" s="31" t="s">
        <v>10</v>
      </c>
      <c r="E172" s="31" t="s">
        <v>410</v>
      </c>
      <c r="F172" s="31" t="s">
        <v>419</v>
      </c>
      <c r="G172" s="31" t="s">
        <v>420</v>
      </c>
      <c r="H172" s="7">
        <v>2.56</v>
      </c>
      <c r="I172" s="33" t="s">
        <v>195</v>
      </c>
      <c r="J172" s="44">
        <v>4.0999999999999996</v>
      </c>
      <c r="K172" s="41">
        <v>0</v>
      </c>
      <c r="L172" s="25">
        <f t="shared" si="2"/>
        <v>-4.0999999999999996</v>
      </c>
      <c r="M172" s="19">
        <f>SUM(L4:L172)</f>
        <v>-4.0150000000000041</v>
      </c>
      <c r="N172">
        <v>169</v>
      </c>
    </row>
    <row r="173" spans="1:14">
      <c r="A173" s="2">
        <v>170</v>
      </c>
      <c r="B173" s="28">
        <v>41440</v>
      </c>
      <c r="C173" s="31" t="s">
        <v>197</v>
      </c>
      <c r="D173" s="31" t="s">
        <v>10</v>
      </c>
      <c r="E173" s="31" t="s">
        <v>410</v>
      </c>
      <c r="F173" s="31" t="s">
        <v>421</v>
      </c>
      <c r="G173" s="31" t="s">
        <v>422</v>
      </c>
      <c r="H173" s="7">
        <v>2.68</v>
      </c>
      <c r="I173" s="33" t="s">
        <v>253</v>
      </c>
      <c r="J173" s="44">
        <v>4.0999999999999996</v>
      </c>
      <c r="K173" s="42">
        <v>10.9</v>
      </c>
      <c r="L173" s="25">
        <f t="shared" si="2"/>
        <v>6.8000000000000007</v>
      </c>
      <c r="M173" s="19">
        <f>SUM(L4:L173)</f>
        <v>2.7849999999999966</v>
      </c>
      <c r="N173">
        <v>170</v>
      </c>
    </row>
    <row r="174" spans="1:14">
      <c r="A174" s="2">
        <v>171</v>
      </c>
      <c r="B174" s="28">
        <v>41440</v>
      </c>
      <c r="C174" s="31" t="s">
        <v>197</v>
      </c>
      <c r="D174" s="31" t="s">
        <v>10</v>
      </c>
      <c r="E174" s="31" t="s">
        <v>423</v>
      </c>
      <c r="F174" s="31" t="s">
        <v>424</v>
      </c>
      <c r="G174" s="31" t="s">
        <v>397</v>
      </c>
      <c r="H174" s="7">
        <v>2.92</v>
      </c>
      <c r="I174" s="33" t="s">
        <v>90</v>
      </c>
      <c r="J174" s="44">
        <v>3.5</v>
      </c>
      <c r="K174" s="41">
        <v>0</v>
      </c>
      <c r="L174" s="25">
        <f t="shared" si="2"/>
        <v>-3.5</v>
      </c>
      <c r="M174" s="19">
        <f>SUM(L4:L174)</f>
        <v>-0.71500000000000341</v>
      </c>
      <c r="N174">
        <v>171</v>
      </c>
    </row>
    <row r="175" spans="1:14">
      <c r="A175" s="2">
        <v>172</v>
      </c>
      <c r="B175" s="28">
        <v>41444</v>
      </c>
      <c r="C175" s="31" t="s">
        <v>197</v>
      </c>
      <c r="D175" s="31" t="s">
        <v>10</v>
      </c>
      <c r="E175" s="31" t="s">
        <v>404</v>
      </c>
      <c r="F175" s="31" t="s">
        <v>425</v>
      </c>
      <c r="G175" s="31" t="s">
        <v>426</v>
      </c>
      <c r="H175" s="7">
        <v>2.85</v>
      </c>
      <c r="I175" s="33" t="s">
        <v>119</v>
      </c>
      <c r="J175" s="44">
        <v>3.7</v>
      </c>
      <c r="K175" s="41">
        <v>0</v>
      </c>
      <c r="L175" s="25">
        <f t="shared" si="2"/>
        <v>-3.7</v>
      </c>
      <c r="M175" s="19">
        <f>SUM(L4:L175)</f>
        <v>-4.4150000000000036</v>
      </c>
      <c r="N175">
        <v>172</v>
      </c>
    </row>
    <row r="176" spans="1:14">
      <c r="A176" s="2">
        <v>173</v>
      </c>
      <c r="B176" s="28">
        <v>41444</v>
      </c>
      <c r="C176" s="31" t="s">
        <v>197</v>
      </c>
      <c r="D176" s="31" t="s">
        <v>10</v>
      </c>
      <c r="E176" s="31" t="s">
        <v>410</v>
      </c>
      <c r="F176" s="31" t="s">
        <v>421</v>
      </c>
      <c r="G176" s="31" t="s">
        <v>419</v>
      </c>
      <c r="H176" s="7">
        <v>2.42</v>
      </c>
      <c r="I176" s="33" t="s">
        <v>427</v>
      </c>
      <c r="J176" s="44">
        <v>4.2</v>
      </c>
      <c r="K176" s="42">
        <v>10.1</v>
      </c>
      <c r="L176" s="25">
        <f t="shared" si="2"/>
        <v>5.8999999999999995</v>
      </c>
      <c r="M176" s="19">
        <f>SUM(L4:L176)</f>
        <v>1.4849999999999959</v>
      </c>
      <c r="N176">
        <v>173</v>
      </c>
    </row>
    <row r="177" spans="1:14">
      <c r="A177" s="2">
        <v>174</v>
      </c>
      <c r="B177" s="28">
        <v>41452</v>
      </c>
      <c r="C177" s="31" t="s">
        <v>197</v>
      </c>
      <c r="D177" s="31" t="s">
        <v>10</v>
      </c>
      <c r="E177" s="31" t="s">
        <v>407</v>
      </c>
      <c r="F177" s="31" t="s">
        <v>408</v>
      </c>
      <c r="G177" s="31" t="s">
        <v>428</v>
      </c>
      <c r="H177" s="7">
        <v>2.38</v>
      </c>
      <c r="I177" s="33" t="s">
        <v>205</v>
      </c>
      <c r="J177" s="44">
        <v>4.4000000000000004</v>
      </c>
      <c r="K177" s="42">
        <v>10.4</v>
      </c>
      <c r="L177" s="25">
        <f t="shared" si="2"/>
        <v>6</v>
      </c>
      <c r="M177" s="19">
        <f>SUM(L4:L177)</f>
        <v>7.4849999999999959</v>
      </c>
      <c r="N177">
        <v>174</v>
      </c>
    </row>
    <row r="178" spans="1:14">
      <c r="A178" s="2">
        <v>175</v>
      </c>
      <c r="B178" s="28">
        <v>41462</v>
      </c>
      <c r="C178" s="31" t="s">
        <v>197</v>
      </c>
      <c r="D178" s="31" t="s">
        <v>10</v>
      </c>
      <c r="E178" s="31" t="s">
        <v>410</v>
      </c>
      <c r="F178" s="31" t="s">
        <v>429</v>
      </c>
      <c r="G178" s="31" t="s">
        <v>430</v>
      </c>
      <c r="H178" s="7">
        <v>2.5</v>
      </c>
      <c r="I178" s="7"/>
      <c r="J178" s="44">
        <v>4.0999999999999996</v>
      </c>
      <c r="K178" s="63">
        <v>0</v>
      </c>
      <c r="L178" s="25">
        <f t="shared" si="2"/>
        <v>-4.0999999999999996</v>
      </c>
      <c r="M178" s="19">
        <f>SUM(L4:L178)</f>
        <v>3.3849999999999962</v>
      </c>
      <c r="N178">
        <v>175</v>
      </c>
    </row>
    <row r="179" spans="1:14">
      <c r="A179" s="2">
        <v>176</v>
      </c>
      <c r="B179" s="28">
        <v>41510</v>
      </c>
      <c r="C179" s="31" t="s">
        <v>214</v>
      </c>
      <c r="D179" s="31" t="s">
        <v>10</v>
      </c>
      <c r="E179" s="31" t="s">
        <v>75</v>
      </c>
      <c r="F179" s="31" t="s">
        <v>356</v>
      </c>
      <c r="G179" s="31" t="s">
        <v>77</v>
      </c>
      <c r="H179" s="7">
        <v>3.4</v>
      </c>
      <c r="I179" s="7" t="s">
        <v>119</v>
      </c>
      <c r="J179" s="44">
        <v>3.2</v>
      </c>
      <c r="K179" s="63">
        <v>0</v>
      </c>
      <c r="L179" s="25">
        <f t="shared" si="2"/>
        <v>-3.2</v>
      </c>
      <c r="M179" s="19">
        <f>SUM(L4:L179)</f>
        <v>0.18499999999999606</v>
      </c>
      <c r="N179">
        <v>176</v>
      </c>
    </row>
    <row r="180" spans="1:14">
      <c r="A180" s="2">
        <v>177</v>
      </c>
      <c r="B180" s="28">
        <v>41510</v>
      </c>
      <c r="C180" s="31" t="s">
        <v>214</v>
      </c>
      <c r="D180" s="31" t="s">
        <v>10</v>
      </c>
      <c r="E180" s="31" t="s">
        <v>75</v>
      </c>
      <c r="F180" s="31" t="s">
        <v>431</v>
      </c>
      <c r="G180" s="31" t="s">
        <v>432</v>
      </c>
      <c r="H180" s="34">
        <v>4.1500000000000004</v>
      </c>
      <c r="I180" s="7" t="s">
        <v>94</v>
      </c>
      <c r="J180" s="44">
        <v>2.85</v>
      </c>
      <c r="K180" s="63">
        <v>0</v>
      </c>
      <c r="L180" s="25">
        <f t="shared" si="2"/>
        <v>-2.85</v>
      </c>
      <c r="M180" s="19">
        <f>SUM(L4:L180)</f>
        <v>-2.665000000000004</v>
      </c>
      <c r="N180">
        <v>177</v>
      </c>
    </row>
    <row r="181" spans="1:14">
      <c r="A181" s="2">
        <v>178</v>
      </c>
      <c r="B181" s="28">
        <v>41510</v>
      </c>
      <c r="C181" s="31" t="s">
        <v>214</v>
      </c>
      <c r="D181" s="31" t="s">
        <v>10</v>
      </c>
      <c r="E181" s="31" t="s">
        <v>75</v>
      </c>
      <c r="F181" s="31" t="s">
        <v>203</v>
      </c>
      <c r="G181" s="31" t="s">
        <v>250</v>
      </c>
      <c r="H181" s="7">
        <v>3.65</v>
      </c>
      <c r="I181" s="7" t="s">
        <v>90</v>
      </c>
      <c r="J181" s="44">
        <v>3.1</v>
      </c>
      <c r="K181" s="63">
        <v>0</v>
      </c>
      <c r="L181" s="25">
        <f t="shared" si="2"/>
        <v>-3.1</v>
      </c>
      <c r="M181" s="19">
        <f>SUM(L4:L181)</f>
        <v>-5.7650000000000041</v>
      </c>
      <c r="N181">
        <v>178</v>
      </c>
    </row>
    <row r="182" spans="1:14">
      <c r="A182" s="2">
        <v>179</v>
      </c>
      <c r="B182" s="28">
        <v>41510</v>
      </c>
      <c r="C182" s="31" t="s">
        <v>214</v>
      </c>
      <c r="D182" s="31" t="s">
        <v>10</v>
      </c>
      <c r="E182" s="31" t="s">
        <v>75</v>
      </c>
      <c r="F182" s="31" t="s">
        <v>433</v>
      </c>
      <c r="G182" s="31" t="s">
        <v>157</v>
      </c>
      <c r="H182" s="34">
        <v>4.1500000000000004</v>
      </c>
      <c r="I182" s="7" t="s">
        <v>166</v>
      </c>
      <c r="J182" s="44">
        <v>2.8</v>
      </c>
      <c r="K182" s="63">
        <v>0</v>
      </c>
      <c r="L182" s="25">
        <f t="shared" si="2"/>
        <v>-2.8</v>
      </c>
      <c r="M182" s="19">
        <f>SUM(L4:L182)</f>
        <v>-8.5650000000000048</v>
      </c>
      <c r="N182">
        <v>179</v>
      </c>
    </row>
    <row r="183" spans="1:14">
      <c r="A183" s="2">
        <v>180</v>
      </c>
      <c r="B183" s="28">
        <v>41510</v>
      </c>
      <c r="C183" s="31" t="s">
        <v>214</v>
      </c>
      <c r="D183" s="31" t="s">
        <v>10</v>
      </c>
      <c r="E183" s="31" t="s">
        <v>75</v>
      </c>
      <c r="F183" s="31" t="s">
        <v>192</v>
      </c>
      <c r="G183" s="31" t="s">
        <v>191</v>
      </c>
      <c r="H183" s="34">
        <v>3.1</v>
      </c>
      <c r="I183" s="7" t="s">
        <v>444</v>
      </c>
      <c r="J183" s="44">
        <v>3.45</v>
      </c>
      <c r="K183" s="64">
        <v>10.65</v>
      </c>
      <c r="L183" s="25">
        <f t="shared" si="2"/>
        <v>7.2</v>
      </c>
      <c r="M183" s="19">
        <f>SUM(L4:L183)</f>
        <v>-1.3650000000000047</v>
      </c>
      <c r="N183">
        <v>180</v>
      </c>
    </row>
    <row r="184" spans="1:14">
      <c r="A184" s="2">
        <v>181</v>
      </c>
      <c r="B184" s="28">
        <v>41510</v>
      </c>
      <c r="C184" s="31" t="s">
        <v>197</v>
      </c>
      <c r="D184" s="31" t="s">
        <v>10</v>
      </c>
      <c r="E184" s="31" t="s">
        <v>343</v>
      </c>
      <c r="F184" s="31" t="s">
        <v>434</v>
      </c>
      <c r="G184" s="31" t="s">
        <v>345</v>
      </c>
      <c r="H184" s="7">
        <v>2.8</v>
      </c>
      <c r="I184" s="33" t="s">
        <v>427</v>
      </c>
      <c r="J184" s="44">
        <v>3.85</v>
      </c>
      <c r="K184" s="64">
        <v>10.78</v>
      </c>
      <c r="L184" s="25">
        <f t="shared" si="2"/>
        <v>6.93</v>
      </c>
      <c r="M184" s="19">
        <f>SUM(L4:L184)</f>
        <v>5.5649999999999951</v>
      </c>
      <c r="N184">
        <v>181</v>
      </c>
    </row>
    <row r="185" spans="1:14">
      <c r="A185" s="2">
        <v>182</v>
      </c>
      <c r="B185" s="28">
        <v>41510</v>
      </c>
      <c r="C185" s="31" t="s">
        <v>197</v>
      </c>
      <c r="D185" s="31" t="s">
        <v>10</v>
      </c>
      <c r="E185" s="31" t="s">
        <v>435</v>
      </c>
      <c r="F185" s="31" t="s">
        <v>436</v>
      </c>
      <c r="G185" s="31" t="s">
        <v>437</v>
      </c>
      <c r="H185" s="7">
        <v>2.52</v>
      </c>
      <c r="I185" s="33" t="s">
        <v>195</v>
      </c>
      <c r="J185" s="44">
        <v>4.0999999999999996</v>
      </c>
      <c r="K185" s="64">
        <v>10.295999999999999</v>
      </c>
      <c r="L185" s="25">
        <f t="shared" si="2"/>
        <v>6.1959999999999997</v>
      </c>
      <c r="M185" s="19">
        <f>SUM(L4:L185)</f>
        <v>11.760999999999996</v>
      </c>
      <c r="N185">
        <v>182</v>
      </c>
    </row>
    <row r="186" spans="1:14">
      <c r="A186" s="2">
        <v>183</v>
      </c>
      <c r="B186" s="28">
        <v>41510</v>
      </c>
      <c r="C186" s="31" t="s">
        <v>197</v>
      </c>
      <c r="D186" s="31" t="s">
        <v>10</v>
      </c>
      <c r="E186" s="31" t="s">
        <v>142</v>
      </c>
      <c r="F186" s="31" t="s">
        <v>438</v>
      </c>
      <c r="G186" s="31" t="s">
        <v>439</v>
      </c>
      <c r="H186" s="7">
        <v>2.34</v>
      </c>
      <c r="I186" s="33" t="s">
        <v>121</v>
      </c>
      <c r="J186" s="44">
        <v>4.4000000000000004</v>
      </c>
      <c r="K186" s="63">
        <v>0</v>
      </c>
      <c r="L186" s="25">
        <f t="shared" si="2"/>
        <v>-4.4000000000000004</v>
      </c>
      <c r="M186" s="19">
        <f>SUM(L4:L186)</f>
        <v>7.3609999999999953</v>
      </c>
      <c r="N186">
        <v>183</v>
      </c>
    </row>
    <row r="187" spans="1:14">
      <c r="A187" s="2">
        <v>184</v>
      </c>
      <c r="B187" s="28">
        <v>41510</v>
      </c>
      <c r="C187" s="31" t="s">
        <v>197</v>
      </c>
      <c r="D187" s="31" t="s">
        <v>10</v>
      </c>
      <c r="E187" s="31" t="s">
        <v>441</v>
      </c>
      <c r="F187" s="31" t="s">
        <v>440</v>
      </c>
      <c r="G187" s="31" t="s">
        <v>442</v>
      </c>
      <c r="H187" s="7">
        <v>2.42</v>
      </c>
      <c r="I187" s="33" t="s">
        <v>89</v>
      </c>
      <c r="J187" s="35">
        <v>4.1500000000000004</v>
      </c>
      <c r="K187" s="63">
        <v>0</v>
      </c>
      <c r="L187" s="25">
        <f t="shared" si="2"/>
        <v>-4.1500000000000004</v>
      </c>
      <c r="M187" s="19">
        <f>SUM(L4:L187)</f>
        <v>3.210999999999995</v>
      </c>
      <c r="N187">
        <v>184</v>
      </c>
    </row>
    <row r="188" spans="1:14">
      <c r="A188" s="2">
        <v>185</v>
      </c>
      <c r="B188" s="28">
        <v>41510</v>
      </c>
      <c r="C188" s="31" t="s">
        <v>197</v>
      </c>
      <c r="D188" s="31" t="s">
        <v>10</v>
      </c>
      <c r="E188" s="31" t="s">
        <v>407</v>
      </c>
      <c r="F188" s="31" t="s">
        <v>411</v>
      </c>
      <c r="G188" s="31" t="s">
        <v>443</v>
      </c>
      <c r="H188" s="7">
        <v>2.92</v>
      </c>
      <c r="I188" s="33" t="s">
        <v>91</v>
      </c>
      <c r="J188" s="35">
        <v>3.5</v>
      </c>
      <c r="K188" s="63">
        <v>0</v>
      </c>
      <c r="L188" s="25">
        <f t="shared" si="2"/>
        <v>-3.5</v>
      </c>
      <c r="M188" s="19">
        <f>SUM(L4:L188)</f>
        <v>-0.28900000000000503</v>
      </c>
      <c r="N188">
        <v>185</v>
      </c>
    </row>
    <row r="189" spans="1:14">
      <c r="A189" s="2">
        <v>186</v>
      </c>
      <c r="B189" s="28">
        <v>41511</v>
      </c>
      <c r="C189" s="31" t="s">
        <v>197</v>
      </c>
      <c r="D189" s="31" t="s">
        <v>10</v>
      </c>
      <c r="E189" s="31" t="s">
        <v>110</v>
      </c>
      <c r="F189" s="31" t="s">
        <v>445</v>
      </c>
      <c r="G189" s="31" t="s">
        <v>446</v>
      </c>
      <c r="H189" s="7">
        <v>3.1</v>
      </c>
      <c r="I189" s="33" t="s">
        <v>121</v>
      </c>
      <c r="J189" s="35">
        <v>3.45</v>
      </c>
      <c r="K189" s="64">
        <v>10.7</v>
      </c>
      <c r="L189" s="25">
        <f t="shared" si="2"/>
        <v>7.2499999999999991</v>
      </c>
      <c r="M189" s="19">
        <f>SUM(L4:L189)</f>
        <v>6.9609999999999941</v>
      </c>
      <c r="N189">
        <v>186</v>
      </c>
    </row>
    <row r="190" spans="1:14">
      <c r="A190" s="2">
        <v>187</v>
      </c>
      <c r="B190" s="28">
        <v>41511</v>
      </c>
      <c r="C190" s="31" t="s">
        <v>197</v>
      </c>
      <c r="D190" s="31" t="s">
        <v>10</v>
      </c>
      <c r="E190" s="31" t="s">
        <v>352</v>
      </c>
      <c r="F190" s="31" t="s">
        <v>112</v>
      </c>
      <c r="G190" s="31" t="s">
        <v>447</v>
      </c>
      <c r="H190" s="7">
        <v>2.65</v>
      </c>
      <c r="I190" s="33" t="s">
        <v>120</v>
      </c>
      <c r="J190" s="35">
        <v>3.8</v>
      </c>
      <c r="K190" s="64">
        <v>10.07</v>
      </c>
      <c r="L190" s="25">
        <f t="shared" si="2"/>
        <v>6.2700000000000005</v>
      </c>
      <c r="M190" s="19">
        <f>SUM(L4:L190)</f>
        <v>13.230999999999995</v>
      </c>
      <c r="N190">
        <v>187</v>
      </c>
    </row>
    <row r="191" spans="1:14">
      <c r="A191" s="2">
        <v>188</v>
      </c>
      <c r="B191" s="28">
        <v>41511</v>
      </c>
      <c r="C191" s="31" t="s">
        <v>197</v>
      </c>
      <c r="D191" s="31" t="s">
        <v>10</v>
      </c>
      <c r="E191" s="31" t="s">
        <v>332</v>
      </c>
      <c r="F191" s="31" t="s">
        <v>448</v>
      </c>
      <c r="G191" s="31" t="s">
        <v>334</v>
      </c>
      <c r="H191" s="7">
        <v>2.95</v>
      </c>
      <c r="I191" s="33" t="s">
        <v>94</v>
      </c>
      <c r="J191" s="35">
        <v>3.5</v>
      </c>
      <c r="K191" s="63">
        <v>0</v>
      </c>
      <c r="L191" s="25">
        <f t="shared" si="2"/>
        <v>-3.5</v>
      </c>
      <c r="M191" s="19">
        <f>SUM(L4:L191)</f>
        <v>9.7309999999999945</v>
      </c>
      <c r="N191">
        <v>188</v>
      </c>
    </row>
    <row r="192" spans="1:14">
      <c r="A192" s="2">
        <v>189</v>
      </c>
      <c r="B192" s="28">
        <v>41516</v>
      </c>
      <c r="C192" s="31" t="s">
        <v>197</v>
      </c>
      <c r="D192" s="31" t="s">
        <v>10</v>
      </c>
      <c r="E192" s="31" t="s">
        <v>232</v>
      </c>
      <c r="F192" s="31" t="s">
        <v>449</v>
      </c>
      <c r="G192" s="31" t="s">
        <v>450</v>
      </c>
      <c r="H192" s="34">
        <v>2.65</v>
      </c>
      <c r="I192" s="33" t="s">
        <v>121</v>
      </c>
      <c r="J192" s="35">
        <v>3.8</v>
      </c>
      <c r="K192" s="63">
        <v>10.07</v>
      </c>
      <c r="L192" s="25">
        <f t="shared" si="2"/>
        <v>6.2700000000000005</v>
      </c>
      <c r="M192" s="19">
        <f>SUM(L4:L192)</f>
        <v>16.000999999999994</v>
      </c>
      <c r="N192">
        <v>189</v>
      </c>
    </row>
    <row r="193" spans="1:16">
      <c r="A193" s="2">
        <v>190</v>
      </c>
      <c r="B193" s="28">
        <v>41516</v>
      </c>
      <c r="C193" s="31" t="s">
        <v>451</v>
      </c>
      <c r="D193" s="31" t="s">
        <v>10</v>
      </c>
      <c r="E193" s="31" t="s">
        <v>232</v>
      </c>
      <c r="F193" s="31" t="s">
        <v>452</v>
      </c>
      <c r="G193" s="31" t="s">
        <v>453</v>
      </c>
      <c r="H193" s="34">
        <v>2.1</v>
      </c>
      <c r="I193" s="33" t="s">
        <v>454</v>
      </c>
      <c r="J193" s="35">
        <v>4.8</v>
      </c>
      <c r="K193" s="63">
        <v>0</v>
      </c>
      <c r="L193" s="25">
        <f t="shared" si="2"/>
        <v>-4.8</v>
      </c>
      <c r="M193" s="19">
        <f>SUM(L4:L193)</f>
        <v>11.200999999999993</v>
      </c>
      <c r="N193">
        <v>190</v>
      </c>
    </row>
    <row r="194" spans="1:16">
      <c r="A194" s="2">
        <v>191</v>
      </c>
      <c r="B194" s="28">
        <v>41516</v>
      </c>
      <c r="C194" s="31" t="s">
        <v>197</v>
      </c>
      <c r="D194" s="31" t="s">
        <v>10</v>
      </c>
      <c r="E194" s="31" t="s">
        <v>142</v>
      </c>
      <c r="F194" s="31" t="s">
        <v>439</v>
      </c>
      <c r="G194" s="31" t="s">
        <v>144</v>
      </c>
      <c r="H194" s="34">
        <v>2.2000000000000002</v>
      </c>
      <c r="I194" s="33" t="s">
        <v>136</v>
      </c>
      <c r="J194" s="35">
        <v>4.5999999999999996</v>
      </c>
      <c r="K194" s="64">
        <v>10.119999999999999</v>
      </c>
      <c r="L194" s="25">
        <f t="shared" si="2"/>
        <v>5.52</v>
      </c>
      <c r="M194" s="19">
        <f>SUM(L4:L194)</f>
        <v>16.720999999999993</v>
      </c>
      <c r="N194">
        <v>191</v>
      </c>
    </row>
    <row r="195" spans="1:16">
      <c r="A195" s="2">
        <v>192</v>
      </c>
      <c r="B195" s="28">
        <v>41518</v>
      </c>
      <c r="C195" s="31" t="s">
        <v>197</v>
      </c>
      <c r="D195" s="31" t="s">
        <v>10</v>
      </c>
      <c r="E195" s="31" t="s">
        <v>352</v>
      </c>
      <c r="F195" s="31" t="s">
        <v>357</v>
      </c>
      <c r="G195" s="31" t="s">
        <v>112</v>
      </c>
      <c r="H195" s="34">
        <v>2.9</v>
      </c>
      <c r="I195" s="7"/>
      <c r="J195" s="35">
        <v>3.6</v>
      </c>
      <c r="K195" s="24">
        <v>0</v>
      </c>
      <c r="L195" s="25">
        <f t="shared" si="2"/>
        <v>-3.6</v>
      </c>
      <c r="M195" s="19">
        <f>SUM(L4:L195)</f>
        <v>13.120999999999993</v>
      </c>
      <c r="N195">
        <v>192</v>
      </c>
    </row>
    <row r="196" spans="1:16">
      <c r="A196" s="2">
        <v>193</v>
      </c>
      <c r="B196" s="28">
        <v>41518</v>
      </c>
      <c r="C196" s="31" t="s">
        <v>197</v>
      </c>
      <c r="D196" s="31" t="s">
        <v>10</v>
      </c>
      <c r="E196" s="31" t="s">
        <v>352</v>
      </c>
      <c r="F196" s="31" t="s">
        <v>455</v>
      </c>
      <c r="G196" s="31" t="s">
        <v>456</v>
      </c>
      <c r="H196" s="34">
        <v>2.92</v>
      </c>
      <c r="I196" s="7"/>
      <c r="J196" s="35">
        <v>3.6</v>
      </c>
      <c r="K196" s="24">
        <v>0</v>
      </c>
      <c r="L196" s="25">
        <f t="shared" si="2"/>
        <v>-3.6</v>
      </c>
      <c r="M196" s="19">
        <f>SUM(L4:L196)</f>
        <v>9.5209999999999937</v>
      </c>
      <c r="N196">
        <v>193</v>
      </c>
      <c r="P196" s="19"/>
    </row>
    <row r="197" spans="1:16">
      <c r="A197" s="2">
        <v>194</v>
      </c>
      <c r="B197" s="28">
        <v>41518</v>
      </c>
      <c r="C197" s="31" t="s">
        <v>197</v>
      </c>
      <c r="D197" s="31" t="s">
        <v>10</v>
      </c>
      <c r="E197" s="31" t="s">
        <v>352</v>
      </c>
      <c r="F197" s="31" t="s">
        <v>457</v>
      </c>
      <c r="G197" s="31" t="s">
        <v>385</v>
      </c>
      <c r="H197" s="34">
        <v>3</v>
      </c>
      <c r="I197" s="7"/>
      <c r="J197" s="35">
        <v>3.5</v>
      </c>
      <c r="K197" s="24">
        <v>0</v>
      </c>
      <c r="L197" s="25">
        <f t="shared" ref="L197:L260" si="3">K197-J197</f>
        <v>-3.5</v>
      </c>
      <c r="M197" s="19">
        <f>SUM(L4:L197)</f>
        <v>6.0209999999999937</v>
      </c>
      <c r="N197">
        <v>194</v>
      </c>
    </row>
    <row r="198" spans="1:16">
      <c r="A198" s="2">
        <v>195</v>
      </c>
      <c r="B198" s="28">
        <v>41518</v>
      </c>
      <c r="C198" s="31" t="s">
        <v>197</v>
      </c>
      <c r="D198" s="31" t="s">
        <v>10</v>
      </c>
      <c r="E198" s="31" t="s">
        <v>423</v>
      </c>
      <c r="F198" s="31" t="s">
        <v>458</v>
      </c>
      <c r="G198" s="31" t="s">
        <v>459</v>
      </c>
      <c r="H198" s="34">
        <v>2.0499999999999998</v>
      </c>
      <c r="I198" s="7" t="s">
        <v>137</v>
      </c>
      <c r="J198" s="35">
        <v>5</v>
      </c>
      <c r="K198" s="65">
        <v>5</v>
      </c>
      <c r="L198" s="25">
        <f t="shared" si="3"/>
        <v>0</v>
      </c>
      <c r="M198" s="19">
        <f>SUM(L4:L198)</f>
        <v>6.0209999999999937</v>
      </c>
      <c r="N198">
        <v>195</v>
      </c>
    </row>
    <row r="199" spans="1:16">
      <c r="A199" s="2">
        <v>196</v>
      </c>
      <c r="B199" s="28">
        <v>41518</v>
      </c>
      <c r="C199" s="31" t="s">
        <v>197</v>
      </c>
      <c r="D199" s="31" t="s">
        <v>10</v>
      </c>
      <c r="E199" s="31" t="s">
        <v>407</v>
      </c>
      <c r="F199" s="31" t="s">
        <v>460</v>
      </c>
      <c r="G199" s="31" t="s">
        <v>408</v>
      </c>
      <c r="H199" s="34">
        <v>2.2000000000000002</v>
      </c>
      <c r="I199" s="7"/>
      <c r="J199" s="35">
        <v>4.5999999999999996</v>
      </c>
      <c r="K199" s="66">
        <v>10.119999999999999</v>
      </c>
      <c r="L199" s="25">
        <f t="shared" si="3"/>
        <v>5.52</v>
      </c>
      <c r="M199" s="19">
        <f>SUM(L4:L199)</f>
        <v>11.540999999999993</v>
      </c>
      <c r="N199">
        <v>196</v>
      </c>
    </row>
    <row r="200" spans="1:16">
      <c r="A200" s="2">
        <v>197</v>
      </c>
      <c r="B200" s="28">
        <v>41525</v>
      </c>
      <c r="C200" s="31" t="s">
        <v>197</v>
      </c>
      <c r="D200" s="31" t="s">
        <v>10</v>
      </c>
      <c r="E200" s="31" t="s">
        <v>142</v>
      </c>
      <c r="F200" s="31" t="s">
        <v>228</v>
      </c>
      <c r="G200" s="31" t="s">
        <v>144</v>
      </c>
      <c r="H200" s="7">
        <v>2.34</v>
      </c>
      <c r="I200" s="7"/>
      <c r="J200" s="35">
        <v>4.4000000000000004</v>
      </c>
      <c r="K200" s="66">
        <v>10.3</v>
      </c>
      <c r="L200" s="25">
        <f t="shared" si="3"/>
        <v>5.9</v>
      </c>
      <c r="M200" s="19">
        <f>SUM(L4:L200)</f>
        <v>17.440999999999995</v>
      </c>
      <c r="N200">
        <v>197</v>
      </c>
    </row>
    <row r="201" spans="1:16">
      <c r="A201" s="2">
        <v>198</v>
      </c>
      <c r="B201" s="28">
        <v>41531</v>
      </c>
      <c r="C201" s="31" t="s">
        <v>197</v>
      </c>
      <c r="D201" s="31" t="s">
        <v>10</v>
      </c>
      <c r="E201" s="31" t="s">
        <v>343</v>
      </c>
      <c r="F201" s="31" t="s">
        <v>345</v>
      </c>
      <c r="G201" s="31" t="s">
        <v>461</v>
      </c>
      <c r="H201" s="7">
        <v>2.58</v>
      </c>
      <c r="I201" s="33" t="s">
        <v>136</v>
      </c>
      <c r="J201" s="35">
        <v>4</v>
      </c>
      <c r="K201" s="66">
        <v>10.32</v>
      </c>
      <c r="L201" s="25">
        <f t="shared" si="3"/>
        <v>6.32</v>
      </c>
      <c r="M201" s="19">
        <f>SUM(L4:L201)</f>
        <v>23.760999999999996</v>
      </c>
      <c r="N201">
        <v>198</v>
      </c>
    </row>
    <row r="202" spans="1:16">
      <c r="A202" s="2">
        <v>199</v>
      </c>
      <c r="B202" s="28">
        <v>41531</v>
      </c>
      <c r="C202" s="31" t="s">
        <v>197</v>
      </c>
      <c r="D202" s="31" t="s">
        <v>10</v>
      </c>
      <c r="E202" s="31" t="s">
        <v>462</v>
      </c>
      <c r="F202" s="31" t="s">
        <v>177</v>
      </c>
      <c r="G202" s="31" t="s">
        <v>463</v>
      </c>
      <c r="H202" s="7">
        <v>2.34</v>
      </c>
      <c r="I202" s="33" t="s">
        <v>205</v>
      </c>
      <c r="J202" s="35">
        <v>4.3</v>
      </c>
      <c r="K202" s="66">
        <v>10</v>
      </c>
      <c r="L202" s="25">
        <f t="shared" si="3"/>
        <v>5.7</v>
      </c>
      <c r="M202" s="19">
        <f>SUM(L4:L202)</f>
        <v>29.460999999999995</v>
      </c>
      <c r="N202">
        <v>199</v>
      </c>
    </row>
    <row r="203" spans="1:16">
      <c r="A203" s="2">
        <v>200</v>
      </c>
      <c r="B203" s="28">
        <v>41531</v>
      </c>
      <c r="C203" s="31" t="s">
        <v>197</v>
      </c>
      <c r="D203" s="31" t="s">
        <v>10</v>
      </c>
      <c r="E203" s="31" t="s">
        <v>88</v>
      </c>
      <c r="F203" s="31" t="s">
        <v>464</v>
      </c>
      <c r="G203" s="31" t="s">
        <v>465</v>
      </c>
      <c r="H203" s="34">
        <v>2.68</v>
      </c>
      <c r="I203" s="33" t="s">
        <v>195</v>
      </c>
      <c r="J203" s="35">
        <v>3.8</v>
      </c>
      <c r="K203" s="24">
        <v>0</v>
      </c>
      <c r="L203" s="25">
        <f t="shared" si="3"/>
        <v>-3.8</v>
      </c>
      <c r="M203" s="19">
        <f>SUM(L4:L203)</f>
        <v>25.660999999999994</v>
      </c>
      <c r="N203">
        <v>200</v>
      </c>
    </row>
    <row r="204" spans="1:16">
      <c r="A204" s="2">
        <v>201</v>
      </c>
      <c r="B204" s="28">
        <v>41532</v>
      </c>
      <c r="C204" s="31" t="s">
        <v>197</v>
      </c>
      <c r="D204" s="31" t="s">
        <v>10</v>
      </c>
      <c r="E204" s="31" t="s">
        <v>352</v>
      </c>
      <c r="F204" s="31" t="s">
        <v>112</v>
      </c>
      <c r="G204" s="31" t="s">
        <v>466</v>
      </c>
      <c r="H204" s="7">
        <v>2.34</v>
      </c>
      <c r="I204" s="7" t="s">
        <v>91</v>
      </c>
      <c r="J204" s="35">
        <v>4.4000000000000004</v>
      </c>
      <c r="K204" s="24">
        <v>0</v>
      </c>
      <c r="L204" s="25">
        <f t="shared" si="3"/>
        <v>-4.4000000000000004</v>
      </c>
      <c r="M204" s="19">
        <f>SUM(L4:L204)</f>
        <v>21.260999999999996</v>
      </c>
      <c r="N204">
        <v>201</v>
      </c>
    </row>
    <row r="205" spans="1:16">
      <c r="A205" s="2">
        <v>202</v>
      </c>
      <c r="B205" s="28">
        <v>41539</v>
      </c>
      <c r="C205" s="31" t="s">
        <v>197</v>
      </c>
      <c r="D205" s="31" t="s">
        <v>10</v>
      </c>
      <c r="E205" s="31" t="s">
        <v>352</v>
      </c>
      <c r="F205" s="31" t="s">
        <v>467</v>
      </c>
      <c r="G205" s="31" t="s">
        <v>447</v>
      </c>
      <c r="H205" s="7">
        <v>2.42</v>
      </c>
      <c r="I205" s="7" t="s">
        <v>91</v>
      </c>
      <c r="J205" s="35">
        <v>4.0999999999999996</v>
      </c>
      <c r="K205" s="24">
        <v>0</v>
      </c>
      <c r="L205" s="25">
        <f t="shared" si="3"/>
        <v>-4.0999999999999996</v>
      </c>
      <c r="M205" s="19">
        <f>SUM(L4:L205)</f>
        <v>17.160999999999994</v>
      </c>
      <c r="N205">
        <v>202</v>
      </c>
    </row>
    <row r="206" spans="1:16">
      <c r="A206" s="2">
        <v>203</v>
      </c>
      <c r="B206" s="28">
        <v>41543</v>
      </c>
      <c r="C206" s="31" t="s">
        <v>197</v>
      </c>
      <c r="D206" s="31" t="s">
        <v>10</v>
      </c>
      <c r="E206" s="31" t="s">
        <v>232</v>
      </c>
      <c r="F206" s="31" t="s">
        <v>468</v>
      </c>
      <c r="G206" s="31" t="s">
        <v>450</v>
      </c>
      <c r="H206" s="34">
        <v>2.15</v>
      </c>
      <c r="I206" s="33" t="s">
        <v>120</v>
      </c>
      <c r="J206" s="35">
        <v>4.7</v>
      </c>
      <c r="K206" s="66">
        <v>10.1</v>
      </c>
      <c r="L206" s="25">
        <f t="shared" si="3"/>
        <v>5.3999999999999995</v>
      </c>
      <c r="M206" s="19">
        <f>SUM(L4:L206)</f>
        <v>22.560999999999993</v>
      </c>
      <c r="N206">
        <v>203</v>
      </c>
    </row>
    <row r="207" spans="1:16">
      <c r="A207" s="2">
        <v>204</v>
      </c>
      <c r="B207" s="28"/>
      <c r="C207" s="31" t="s">
        <v>197</v>
      </c>
      <c r="D207" s="31" t="s">
        <v>10</v>
      </c>
      <c r="E207" s="31" t="s">
        <v>343</v>
      </c>
      <c r="F207" s="31" t="s">
        <v>469</v>
      </c>
      <c r="G207" s="31" t="s">
        <v>434</v>
      </c>
      <c r="H207" s="7">
        <v>2.7</v>
      </c>
      <c r="I207" s="7"/>
      <c r="J207" s="35">
        <v>3.8</v>
      </c>
      <c r="K207" s="24"/>
      <c r="L207" s="25">
        <f t="shared" si="3"/>
        <v>-3.8</v>
      </c>
    </row>
    <row r="208" spans="1:16">
      <c r="A208" s="2">
        <v>205</v>
      </c>
      <c r="B208" s="28"/>
      <c r="C208" s="31" t="s">
        <v>197</v>
      </c>
      <c r="D208" s="31" t="s">
        <v>10</v>
      </c>
      <c r="E208" s="31" t="s">
        <v>462</v>
      </c>
      <c r="F208" s="31" t="s">
        <v>339</v>
      </c>
      <c r="G208" s="31" t="s">
        <v>178</v>
      </c>
      <c r="H208" s="7">
        <v>2.5</v>
      </c>
      <c r="I208" s="7"/>
      <c r="J208" s="35">
        <v>4.0999999999999996</v>
      </c>
      <c r="K208" s="24"/>
      <c r="L208" s="25">
        <f t="shared" si="3"/>
        <v>-4.0999999999999996</v>
      </c>
    </row>
    <row r="209" spans="1:12">
      <c r="A209" s="2">
        <v>206</v>
      </c>
      <c r="B209" s="28"/>
      <c r="C209" s="31" t="s">
        <v>197</v>
      </c>
      <c r="D209" s="31" t="s">
        <v>10</v>
      </c>
      <c r="E209" s="31" t="s">
        <v>352</v>
      </c>
      <c r="F209" s="31" t="s">
        <v>353</v>
      </c>
      <c r="G209" s="31" t="s">
        <v>470</v>
      </c>
      <c r="H209" s="7">
        <v>2.8875000000000002</v>
      </c>
      <c r="I209" s="7"/>
      <c r="J209" s="35">
        <v>3.6</v>
      </c>
      <c r="K209" s="24"/>
      <c r="L209" s="25">
        <f t="shared" si="3"/>
        <v>-3.6</v>
      </c>
    </row>
    <row r="210" spans="1:12">
      <c r="A210" s="2">
        <v>207</v>
      </c>
      <c r="B210" s="28"/>
      <c r="C210" s="31" t="s">
        <v>197</v>
      </c>
      <c r="D210" s="31" t="s">
        <v>10</v>
      </c>
      <c r="E210" s="31" t="s">
        <v>352</v>
      </c>
      <c r="F210" s="31" t="s">
        <v>471</v>
      </c>
      <c r="G210" s="31" t="s">
        <v>467</v>
      </c>
      <c r="H210" s="7">
        <v>2.68</v>
      </c>
      <c r="I210" s="7"/>
      <c r="J210" s="35">
        <v>3.8</v>
      </c>
      <c r="K210" s="24"/>
      <c r="L210" s="25">
        <f t="shared" si="3"/>
        <v>-3.8</v>
      </c>
    </row>
    <row r="211" spans="1:12">
      <c r="A211" s="2">
        <v>208</v>
      </c>
      <c r="B211" s="28"/>
      <c r="C211" s="31"/>
      <c r="D211" s="31"/>
      <c r="E211" s="31"/>
      <c r="F211" s="31"/>
      <c r="G211" s="31"/>
      <c r="H211" s="7"/>
      <c r="I211" s="7"/>
      <c r="J211" s="35"/>
      <c r="K211" s="24"/>
      <c r="L211" s="25">
        <f t="shared" si="3"/>
        <v>0</v>
      </c>
    </row>
    <row r="212" spans="1:12">
      <c r="A212" s="2">
        <v>209</v>
      </c>
      <c r="B212" s="28"/>
      <c r="C212" s="31"/>
      <c r="D212" s="31"/>
      <c r="E212" s="31"/>
      <c r="F212" s="31"/>
      <c r="G212" s="31"/>
      <c r="H212" s="7"/>
      <c r="I212" s="7"/>
      <c r="J212" s="35"/>
      <c r="K212" s="24"/>
      <c r="L212" s="25">
        <f t="shared" si="3"/>
        <v>0</v>
      </c>
    </row>
    <row r="213" spans="1:12">
      <c r="A213" s="2">
        <v>210</v>
      </c>
      <c r="B213" s="28"/>
      <c r="C213" s="31"/>
      <c r="D213" s="31"/>
      <c r="E213" s="31"/>
      <c r="F213" s="31"/>
      <c r="G213" s="31"/>
      <c r="H213" s="7"/>
      <c r="I213" s="7"/>
      <c r="J213" s="35"/>
      <c r="K213" s="24"/>
      <c r="L213" s="25">
        <f t="shared" si="3"/>
        <v>0</v>
      </c>
    </row>
    <row r="214" spans="1:12">
      <c r="A214" s="2">
        <v>211</v>
      </c>
      <c r="B214" s="28"/>
      <c r="C214" s="31"/>
      <c r="D214" s="31"/>
      <c r="E214" s="31"/>
      <c r="F214" s="31"/>
      <c r="G214" s="31"/>
      <c r="H214" s="7"/>
      <c r="I214" s="7"/>
      <c r="J214" s="35"/>
      <c r="K214" s="24"/>
      <c r="L214" s="25">
        <f t="shared" si="3"/>
        <v>0</v>
      </c>
    </row>
    <row r="215" spans="1:12">
      <c r="A215" s="2">
        <v>212</v>
      </c>
      <c r="B215" s="28"/>
      <c r="C215" s="31"/>
      <c r="D215" s="31"/>
      <c r="E215" s="31"/>
      <c r="F215" s="31"/>
      <c r="G215" s="31"/>
      <c r="H215" s="7"/>
      <c r="I215" s="7"/>
      <c r="J215" s="35"/>
      <c r="K215" s="24"/>
      <c r="L215" s="25">
        <f t="shared" si="3"/>
        <v>0</v>
      </c>
    </row>
    <row r="216" spans="1:12">
      <c r="A216" s="2">
        <v>213</v>
      </c>
      <c r="B216" s="28"/>
      <c r="C216" s="31"/>
      <c r="D216" s="31"/>
      <c r="E216" s="31"/>
      <c r="F216" s="31"/>
      <c r="G216" s="31"/>
      <c r="H216" s="7"/>
      <c r="I216" s="7"/>
      <c r="J216" s="24"/>
      <c r="K216" s="24"/>
      <c r="L216" s="25">
        <f t="shared" si="3"/>
        <v>0</v>
      </c>
    </row>
    <row r="217" spans="1:12">
      <c r="A217" s="2">
        <v>214</v>
      </c>
      <c r="B217" s="28"/>
      <c r="C217" s="31"/>
      <c r="D217" s="31"/>
      <c r="E217" s="31"/>
      <c r="F217" s="31"/>
      <c r="G217" s="31"/>
      <c r="H217" s="7"/>
      <c r="I217" s="7"/>
      <c r="J217" s="24"/>
      <c r="K217" s="24"/>
      <c r="L217" s="25">
        <f t="shared" si="3"/>
        <v>0</v>
      </c>
    </row>
    <row r="218" spans="1:12">
      <c r="A218" s="2">
        <v>215</v>
      </c>
      <c r="B218" s="28"/>
      <c r="C218" s="31"/>
      <c r="D218" s="31"/>
      <c r="E218" s="31"/>
      <c r="F218" s="31"/>
      <c r="G218" s="31"/>
      <c r="H218" s="7"/>
      <c r="I218" s="7"/>
      <c r="J218" s="24"/>
      <c r="K218" s="24"/>
      <c r="L218" s="25">
        <f t="shared" si="3"/>
        <v>0</v>
      </c>
    </row>
    <row r="219" spans="1:12">
      <c r="A219" s="2">
        <v>216</v>
      </c>
      <c r="B219" s="28"/>
      <c r="C219" s="31"/>
      <c r="D219" s="31"/>
      <c r="E219" s="31"/>
      <c r="F219" s="31"/>
      <c r="G219" s="31"/>
      <c r="H219" s="7"/>
      <c r="I219" s="7"/>
      <c r="J219" s="24"/>
      <c r="K219" s="24"/>
      <c r="L219" s="25">
        <f t="shared" si="3"/>
        <v>0</v>
      </c>
    </row>
    <row r="220" spans="1:12">
      <c r="A220" s="2">
        <v>217</v>
      </c>
      <c r="B220" s="28"/>
      <c r="C220" s="31"/>
      <c r="D220" s="31"/>
      <c r="E220" s="31"/>
      <c r="F220" s="31"/>
      <c r="G220" s="31"/>
      <c r="H220" s="7"/>
      <c r="I220" s="7"/>
      <c r="J220" s="24"/>
      <c r="K220" s="24"/>
      <c r="L220" s="25">
        <f t="shared" si="3"/>
        <v>0</v>
      </c>
    </row>
    <row r="221" spans="1:12">
      <c r="A221" s="2">
        <v>218</v>
      </c>
      <c r="B221" s="28"/>
      <c r="C221" s="31"/>
      <c r="D221" s="31"/>
      <c r="E221" s="31"/>
      <c r="F221" s="31"/>
      <c r="G221" s="31"/>
      <c r="H221" s="7"/>
      <c r="I221" s="7"/>
      <c r="J221" s="24"/>
      <c r="K221" s="24"/>
      <c r="L221" s="25">
        <f t="shared" si="3"/>
        <v>0</v>
      </c>
    </row>
    <row r="222" spans="1:12">
      <c r="A222" s="2">
        <v>219</v>
      </c>
      <c r="B222" s="28"/>
      <c r="C222" s="31"/>
      <c r="D222" s="31"/>
      <c r="E222" s="31"/>
      <c r="F222" s="31"/>
      <c r="G222" s="31"/>
      <c r="H222" s="7"/>
      <c r="I222" s="7"/>
      <c r="J222" s="24"/>
      <c r="K222" s="24"/>
      <c r="L222" s="25">
        <f t="shared" si="3"/>
        <v>0</v>
      </c>
    </row>
    <row r="223" spans="1:12">
      <c r="A223" s="2">
        <v>220</v>
      </c>
      <c r="B223" s="28"/>
      <c r="C223" s="31"/>
      <c r="D223" s="31"/>
      <c r="E223" s="31"/>
      <c r="F223" s="31"/>
      <c r="G223" s="31"/>
      <c r="H223" s="7"/>
      <c r="I223" s="7"/>
      <c r="J223" s="24"/>
      <c r="K223" s="24"/>
      <c r="L223" s="25">
        <f t="shared" si="3"/>
        <v>0</v>
      </c>
    </row>
    <row r="224" spans="1:12">
      <c r="A224" s="2">
        <v>221</v>
      </c>
      <c r="B224" s="28"/>
      <c r="C224" s="31"/>
      <c r="D224" s="31"/>
      <c r="E224" s="31"/>
      <c r="F224" s="31"/>
      <c r="G224" s="31"/>
      <c r="H224" s="7"/>
      <c r="I224" s="7"/>
      <c r="J224" s="24"/>
      <c r="K224" s="24"/>
      <c r="L224" s="25">
        <f t="shared" si="3"/>
        <v>0</v>
      </c>
    </row>
    <row r="225" spans="1:12">
      <c r="A225" s="2">
        <v>222</v>
      </c>
      <c r="B225" s="28"/>
      <c r="C225" s="31"/>
      <c r="D225" s="31"/>
      <c r="E225" s="31"/>
      <c r="F225" s="31"/>
      <c r="G225" s="31"/>
      <c r="H225" s="7"/>
      <c r="I225" s="7"/>
      <c r="J225" s="24"/>
      <c r="K225" s="24"/>
      <c r="L225" s="25">
        <f t="shared" si="3"/>
        <v>0</v>
      </c>
    </row>
    <row r="226" spans="1:12">
      <c r="A226" s="2">
        <v>223</v>
      </c>
      <c r="B226" s="28"/>
      <c r="C226" s="31"/>
      <c r="D226" s="31"/>
      <c r="E226" s="31"/>
      <c r="F226" s="31"/>
      <c r="G226" s="31"/>
      <c r="H226" s="7"/>
      <c r="I226" s="7"/>
      <c r="J226" s="24"/>
      <c r="K226" s="24"/>
      <c r="L226" s="25">
        <f t="shared" si="3"/>
        <v>0</v>
      </c>
    </row>
    <row r="227" spans="1:12">
      <c r="A227" s="2">
        <v>224</v>
      </c>
      <c r="B227" s="28"/>
      <c r="C227" s="31"/>
      <c r="D227" s="31"/>
      <c r="E227" s="31"/>
      <c r="F227" s="31"/>
      <c r="G227" s="31"/>
      <c r="H227" s="7"/>
      <c r="I227" s="7"/>
      <c r="J227" s="24"/>
      <c r="K227" s="24"/>
      <c r="L227" s="25">
        <f t="shared" si="3"/>
        <v>0</v>
      </c>
    </row>
    <row r="228" spans="1:12">
      <c r="A228" s="2">
        <v>225</v>
      </c>
      <c r="B228" s="28"/>
      <c r="C228" s="31"/>
      <c r="D228" s="31"/>
      <c r="E228" s="31"/>
      <c r="F228" s="31"/>
      <c r="G228" s="31"/>
      <c r="H228" s="7"/>
      <c r="I228" s="7"/>
      <c r="J228" s="24"/>
      <c r="K228" s="24"/>
      <c r="L228" s="25">
        <f t="shared" si="3"/>
        <v>0</v>
      </c>
    </row>
    <row r="229" spans="1:12">
      <c r="A229" s="2">
        <v>226</v>
      </c>
      <c r="B229" s="28"/>
      <c r="C229" s="31"/>
      <c r="D229" s="31"/>
      <c r="E229" s="31"/>
      <c r="F229" s="31"/>
      <c r="G229" s="31"/>
      <c r="H229" s="7"/>
      <c r="I229" s="7"/>
      <c r="J229" s="24"/>
      <c r="K229" s="24"/>
      <c r="L229" s="25">
        <f t="shared" si="3"/>
        <v>0</v>
      </c>
    </row>
    <row r="230" spans="1:12">
      <c r="A230" s="2">
        <v>227</v>
      </c>
      <c r="B230" s="28"/>
      <c r="C230" s="31"/>
      <c r="D230" s="31"/>
      <c r="E230" s="31"/>
      <c r="F230" s="31"/>
      <c r="G230" s="31"/>
      <c r="H230" s="7"/>
      <c r="I230" s="7"/>
      <c r="J230" s="24"/>
      <c r="K230" s="24"/>
      <c r="L230" s="25">
        <f t="shared" si="3"/>
        <v>0</v>
      </c>
    </row>
    <row r="231" spans="1:12">
      <c r="A231" s="2">
        <v>228</v>
      </c>
      <c r="B231" s="28"/>
      <c r="C231" s="31"/>
      <c r="D231" s="31"/>
      <c r="E231" s="31"/>
      <c r="F231" s="31"/>
      <c r="G231" s="31"/>
      <c r="H231" s="7"/>
      <c r="I231" s="7"/>
      <c r="J231" s="24"/>
      <c r="K231" s="24"/>
      <c r="L231" s="25">
        <f t="shared" si="3"/>
        <v>0</v>
      </c>
    </row>
    <row r="232" spans="1:12">
      <c r="A232" s="2">
        <v>229</v>
      </c>
      <c r="B232" s="28"/>
      <c r="C232" s="31"/>
      <c r="D232" s="31"/>
      <c r="E232" s="31"/>
      <c r="F232" s="31"/>
      <c r="G232" s="31"/>
      <c r="H232" s="7"/>
      <c r="I232" s="7"/>
      <c r="J232" s="24"/>
      <c r="K232" s="24"/>
      <c r="L232" s="25">
        <f t="shared" si="3"/>
        <v>0</v>
      </c>
    </row>
    <row r="233" spans="1:12">
      <c r="A233" s="2">
        <v>230</v>
      </c>
      <c r="B233" s="28"/>
      <c r="C233" s="31"/>
      <c r="D233" s="31"/>
      <c r="E233" s="31"/>
      <c r="F233" s="31"/>
      <c r="G233" s="31"/>
      <c r="H233" s="7"/>
      <c r="I233" s="7"/>
      <c r="J233" s="24"/>
      <c r="K233" s="24"/>
      <c r="L233" s="25">
        <f t="shared" si="3"/>
        <v>0</v>
      </c>
    </row>
    <row r="234" spans="1:12">
      <c r="A234" s="2">
        <v>231</v>
      </c>
      <c r="B234" s="28"/>
      <c r="C234" s="31"/>
      <c r="D234" s="31"/>
      <c r="E234" s="31"/>
      <c r="F234" s="31"/>
      <c r="G234" s="31"/>
      <c r="H234" s="7"/>
      <c r="I234" s="7"/>
      <c r="J234" s="24"/>
      <c r="K234" s="24"/>
      <c r="L234" s="25">
        <f t="shared" si="3"/>
        <v>0</v>
      </c>
    </row>
    <row r="235" spans="1:12">
      <c r="A235" s="2">
        <v>232</v>
      </c>
      <c r="B235" s="28"/>
      <c r="C235" s="31"/>
      <c r="D235" s="31"/>
      <c r="E235" s="31"/>
      <c r="F235" s="31"/>
      <c r="G235" s="31"/>
      <c r="H235" s="7"/>
      <c r="I235" s="7"/>
      <c r="J235" s="24"/>
      <c r="K235" s="24"/>
      <c r="L235" s="25">
        <f t="shared" si="3"/>
        <v>0</v>
      </c>
    </row>
    <row r="236" spans="1:12">
      <c r="A236" s="2">
        <v>233</v>
      </c>
      <c r="B236" s="28"/>
      <c r="C236" s="31"/>
      <c r="D236" s="31"/>
      <c r="E236" s="31"/>
      <c r="F236" s="31"/>
      <c r="G236" s="31"/>
      <c r="H236" s="7"/>
      <c r="I236" s="7"/>
      <c r="J236" s="24"/>
      <c r="K236" s="24"/>
      <c r="L236" s="25">
        <f t="shared" si="3"/>
        <v>0</v>
      </c>
    </row>
    <row r="237" spans="1:12">
      <c r="A237" s="2">
        <v>234</v>
      </c>
      <c r="B237" s="28"/>
      <c r="C237" s="31"/>
      <c r="D237" s="31"/>
      <c r="E237" s="31"/>
      <c r="F237" s="31"/>
      <c r="G237" s="31"/>
      <c r="H237" s="7"/>
      <c r="I237" s="7"/>
      <c r="J237" s="24"/>
      <c r="K237" s="24"/>
      <c r="L237" s="25">
        <f t="shared" si="3"/>
        <v>0</v>
      </c>
    </row>
    <row r="238" spans="1:12">
      <c r="A238" s="2">
        <v>235</v>
      </c>
      <c r="B238" s="28"/>
      <c r="C238" s="31"/>
      <c r="D238" s="31"/>
      <c r="E238" s="31"/>
      <c r="F238" s="31"/>
      <c r="G238" s="31"/>
      <c r="H238" s="7"/>
      <c r="I238" s="7"/>
      <c r="J238" s="24"/>
      <c r="K238" s="24"/>
      <c r="L238" s="25">
        <f t="shared" si="3"/>
        <v>0</v>
      </c>
    </row>
    <row r="239" spans="1:12">
      <c r="A239" s="2">
        <v>236</v>
      </c>
      <c r="B239" s="28"/>
      <c r="C239" s="31"/>
      <c r="D239" s="31"/>
      <c r="E239" s="31"/>
      <c r="F239" s="31"/>
      <c r="G239" s="31"/>
      <c r="H239" s="7"/>
      <c r="I239" s="7"/>
      <c r="J239" s="24"/>
      <c r="K239" s="24"/>
      <c r="L239" s="25">
        <f t="shared" si="3"/>
        <v>0</v>
      </c>
    </row>
    <row r="240" spans="1:12">
      <c r="A240" s="2">
        <v>237</v>
      </c>
      <c r="B240" s="28"/>
      <c r="C240" s="31"/>
      <c r="D240" s="31"/>
      <c r="E240" s="31"/>
      <c r="F240" s="31"/>
      <c r="G240" s="31"/>
      <c r="H240" s="7"/>
      <c r="I240" s="7"/>
      <c r="J240" s="24"/>
      <c r="K240" s="24"/>
      <c r="L240" s="25">
        <f t="shared" si="3"/>
        <v>0</v>
      </c>
    </row>
    <row r="241" spans="1:12">
      <c r="A241" s="2">
        <v>238</v>
      </c>
      <c r="B241" s="28"/>
      <c r="C241" s="31"/>
      <c r="D241" s="31"/>
      <c r="E241" s="31"/>
      <c r="F241" s="31"/>
      <c r="G241" s="31"/>
      <c r="H241" s="7"/>
      <c r="I241" s="7"/>
      <c r="J241" s="24"/>
      <c r="K241" s="24"/>
      <c r="L241" s="25">
        <f t="shared" si="3"/>
        <v>0</v>
      </c>
    </row>
    <row r="242" spans="1:12">
      <c r="A242" s="2">
        <v>239</v>
      </c>
      <c r="B242" s="28"/>
      <c r="C242" s="31"/>
      <c r="D242" s="31"/>
      <c r="E242" s="31"/>
      <c r="F242" s="31"/>
      <c r="G242" s="31"/>
      <c r="H242" s="7"/>
      <c r="I242" s="7"/>
      <c r="J242" s="24"/>
      <c r="K242" s="24"/>
      <c r="L242" s="25">
        <f t="shared" si="3"/>
        <v>0</v>
      </c>
    </row>
    <row r="243" spans="1:12">
      <c r="A243" s="2">
        <v>240</v>
      </c>
      <c r="B243" s="28"/>
      <c r="C243" s="31"/>
      <c r="D243" s="31"/>
      <c r="E243" s="31"/>
      <c r="F243" s="31"/>
      <c r="G243" s="31"/>
      <c r="H243" s="7"/>
      <c r="I243" s="7"/>
      <c r="J243" s="24"/>
      <c r="K243" s="24"/>
      <c r="L243" s="25">
        <f t="shared" si="3"/>
        <v>0</v>
      </c>
    </row>
    <row r="244" spans="1:12">
      <c r="A244" s="2">
        <v>241</v>
      </c>
      <c r="B244" s="28"/>
      <c r="C244" s="31"/>
      <c r="D244" s="31"/>
      <c r="E244" s="31"/>
      <c r="F244" s="31"/>
      <c r="G244" s="31"/>
      <c r="H244" s="7"/>
      <c r="I244" s="7"/>
      <c r="J244" s="24"/>
      <c r="K244" s="24"/>
      <c r="L244" s="25">
        <f t="shared" si="3"/>
        <v>0</v>
      </c>
    </row>
    <row r="245" spans="1:12">
      <c r="A245" s="2">
        <v>242</v>
      </c>
      <c r="B245" s="28"/>
      <c r="C245" s="31"/>
      <c r="D245" s="31"/>
      <c r="E245" s="31"/>
      <c r="F245" s="31"/>
      <c r="G245" s="31"/>
      <c r="H245" s="7"/>
      <c r="I245" s="7"/>
      <c r="J245" s="24"/>
      <c r="K245" s="24"/>
      <c r="L245" s="25">
        <f t="shared" si="3"/>
        <v>0</v>
      </c>
    </row>
    <row r="246" spans="1:12">
      <c r="A246" s="2">
        <v>243</v>
      </c>
      <c r="B246" s="28"/>
      <c r="C246" s="31"/>
      <c r="D246" s="31"/>
      <c r="E246" s="31"/>
      <c r="F246" s="31"/>
      <c r="G246" s="31"/>
      <c r="H246" s="7"/>
      <c r="I246" s="7"/>
      <c r="J246" s="24"/>
      <c r="K246" s="24"/>
      <c r="L246" s="25">
        <f t="shared" si="3"/>
        <v>0</v>
      </c>
    </row>
    <row r="247" spans="1:12">
      <c r="A247" s="2">
        <v>244</v>
      </c>
      <c r="B247" s="28"/>
      <c r="C247" s="31"/>
      <c r="D247" s="31"/>
      <c r="E247" s="31"/>
      <c r="F247" s="31"/>
      <c r="G247" s="31"/>
      <c r="H247" s="7"/>
      <c r="I247" s="7"/>
      <c r="J247" s="24"/>
      <c r="K247" s="24"/>
      <c r="L247" s="25">
        <f t="shared" si="3"/>
        <v>0</v>
      </c>
    </row>
    <row r="248" spans="1:12">
      <c r="A248" s="2">
        <v>245</v>
      </c>
      <c r="B248" s="28"/>
      <c r="C248" s="31"/>
      <c r="D248" s="31"/>
      <c r="E248" s="31"/>
      <c r="F248" s="31"/>
      <c r="G248" s="31"/>
      <c r="H248" s="7"/>
      <c r="I248" s="7"/>
      <c r="J248" s="24"/>
      <c r="K248" s="24"/>
      <c r="L248" s="25">
        <f t="shared" si="3"/>
        <v>0</v>
      </c>
    </row>
    <row r="249" spans="1:12">
      <c r="A249" s="2">
        <v>246</v>
      </c>
      <c r="B249" s="28"/>
      <c r="C249" s="31"/>
      <c r="D249" s="31"/>
      <c r="E249" s="31"/>
      <c r="F249" s="31"/>
      <c r="G249" s="31"/>
      <c r="H249" s="7"/>
      <c r="I249" s="7"/>
      <c r="J249" s="24"/>
      <c r="K249" s="24"/>
      <c r="L249" s="25">
        <f t="shared" si="3"/>
        <v>0</v>
      </c>
    </row>
    <row r="250" spans="1:12">
      <c r="A250" s="2">
        <v>247</v>
      </c>
      <c r="B250" s="28"/>
      <c r="C250" s="31"/>
      <c r="D250" s="31"/>
      <c r="E250" s="31"/>
      <c r="F250" s="31"/>
      <c r="G250" s="31"/>
      <c r="H250" s="7"/>
      <c r="I250" s="7"/>
      <c r="J250" s="24"/>
      <c r="K250" s="24"/>
      <c r="L250" s="25">
        <f t="shared" si="3"/>
        <v>0</v>
      </c>
    </row>
    <row r="251" spans="1:12">
      <c r="A251" s="2">
        <v>248</v>
      </c>
      <c r="B251" s="28"/>
      <c r="C251" s="31"/>
      <c r="D251" s="31"/>
      <c r="E251" s="31"/>
      <c r="F251" s="31"/>
      <c r="G251" s="31"/>
      <c r="H251" s="7"/>
      <c r="I251" s="7"/>
      <c r="J251" s="24"/>
      <c r="K251" s="24"/>
      <c r="L251" s="25">
        <f t="shared" si="3"/>
        <v>0</v>
      </c>
    </row>
    <row r="252" spans="1:12">
      <c r="A252" s="2">
        <v>249</v>
      </c>
      <c r="B252" s="28"/>
      <c r="C252" s="31"/>
      <c r="D252" s="31"/>
      <c r="E252" s="31"/>
      <c r="F252" s="31"/>
      <c r="G252" s="31"/>
      <c r="H252" s="7"/>
      <c r="I252" s="7"/>
      <c r="J252" s="24"/>
      <c r="K252" s="24"/>
      <c r="L252" s="25">
        <f t="shared" si="3"/>
        <v>0</v>
      </c>
    </row>
    <row r="253" spans="1:12">
      <c r="A253" s="2">
        <v>250</v>
      </c>
      <c r="B253" s="28"/>
      <c r="C253" s="31"/>
      <c r="D253" s="31"/>
      <c r="E253" s="31"/>
      <c r="F253" s="31"/>
      <c r="G253" s="31"/>
      <c r="H253" s="7"/>
      <c r="I253" s="7"/>
      <c r="J253" s="24"/>
      <c r="K253" s="24"/>
      <c r="L253" s="25">
        <f t="shared" si="3"/>
        <v>0</v>
      </c>
    </row>
    <row r="254" spans="1:12">
      <c r="A254" s="2">
        <v>251</v>
      </c>
      <c r="B254" s="28"/>
      <c r="C254" s="31"/>
      <c r="D254" s="31"/>
      <c r="E254" s="31"/>
      <c r="F254" s="31"/>
      <c r="G254" s="31"/>
      <c r="H254" s="7"/>
      <c r="I254" s="7"/>
      <c r="J254" s="24"/>
      <c r="K254" s="24"/>
      <c r="L254" s="25">
        <f t="shared" si="3"/>
        <v>0</v>
      </c>
    </row>
    <row r="255" spans="1:12">
      <c r="A255" s="2">
        <v>252</v>
      </c>
      <c r="B255" s="28"/>
      <c r="C255" s="31"/>
      <c r="D255" s="31"/>
      <c r="E255" s="31"/>
      <c r="F255" s="31"/>
      <c r="G255" s="31"/>
      <c r="H255" s="7"/>
      <c r="I255" s="7"/>
      <c r="J255" s="24"/>
      <c r="K255" s="24"/>
      <c r="L255" s="25">
        <f t="shared" si="3"/>
        <v>0</v>
      </c>
    </row>
    <row r="256" spans="1:12">
      <c r="A256" s="2">
        <v>253</v>
      </c>
      <c r="B256" s="28"/>
      <c r="C256" s="31"/>
      <c r="D256" s="31"/>
      <c r="E256" s="31"/>
      <c r="F256" s="31"/>
      <c r="G256" s="31"/>
      <c r="H256" s="7"/>
      <c r="I256" s="7"/>
      <c r="J256" s="24"/>
      <c r="K256" s="24"/>
      <c r="L256" s="25">
        <f t="shared" si="3"/>
        <v>0</v>
      </c>
    </row>
    <row r="257" spans="1:12">
      <c r="A257" s="2">
        <v>254</v>
      </c>
      <c r="B257" s="28"/>
      <c r="C257" s="31"/>
      <c r="D257" s="31"/>
      <c r="E257" s="31"/>
      <c r="F257" s="31"/>
      <c r="G257" s="31"/>
      <c r="H257" s="7"/>
      <c r="I257" s="7"/>
      <c r="J257" s="24"/>
      <c r="K257" s="24"/>
      <c r="L257" s="25">
        <f t="shared" si="3"/>
        <v>0</v>
      </c>
    </row>
    <row r="258" spans="1:12">
      <c r="A258" s="2">
        <v>255</v>
      </c>
      <c r="B258" s="28"/>
      <c r="C258" s="31"/>
      <c r="D258" s="31"/>
      <c r="E258" s="31"/>
      <c r="F258" s="31"/>
      <c r="G258" s="31"/>
      <c r="H258" s="7"/>
      <c r="I258" s="7"/>
      <c r="J258" s="24"/>
      <c r="K258" s="24"/>
      <c r="L258" s="25">
        <f t="shared" si="3"/>
        <v>0</v>
      </c>
    </row>
    <row r="259" spans="1:12">
      <c r="A259" s="2">
        <v>256</v>
      </c>
      <c r="B259" s="28"/>
      <c r="C259" s="31"/>
      <c r="D259" s="31"/>
      <c r="E259" s="31"/>
      <c r="F259" s="31"/>
      <c r="G259" s="31"/>
      <c r="H259" s="7"/>
      <c r="I259" s="7"/>
      <c r="J259" s="24"/>
      <c r="K259" s="24"/>
      <c r="L259" s="25">
        <f t="shared" si="3"/>
        <v>0</v>
      </c>
    </row>
    <row r="260" spans="1:12">
      <c r="A260" s="2">
        <v>257</v>
      </c>
      <c r="B260" s="28"/>
      <c r="C260" s="31"/>
      <c r="D260" s="31"/>
      <c r="E260" s="31"/>
      <c r="F260" s="31"/>
      <c r="G260" s="31"/>
      <c r="H260" s="7"/>
      <c r="I260" s="7"/>
      <c r="J260" s="24"/>
      <c r="K260" s="24"/>
      <c r="L260" s="25">
        <f t="shared" si="3"/>
        <v>0</v>
      </c>
    </row>
    <row r="261" spans="1:12">
      <c r="A261" s="2">
        <v>258</v>
      </c>
      <c r="B261" s="28"/>
      <c r="C261" s="31"/>
      <c r="D261" s="31"/>
      <c r="E261" s="31"/>
      <c r="F261" s="31"/>
      <c r="G261" s="31"/>
      <c r="H261" s="7"/>
      <c r="I261" s="7"/>
      <c r="J261" s="24"/>
      <c r="K261" s="24"/>
      <c r="L261" s="25">
        <f t="shared" ref="L261:L280" si="4">K261-J261</f>
        <v>0</v>
      </c>
    </row>
    <row r="262" spans="1:12">
      <c r="A262" s="2">
        <v>259</v>
      </c>
      <c r="B262" s="28"/>
      <c r="C262" s="31"/>
      <c r="D262" s="31"/>
      <c r="E262" s="31"/>
      <c r="F262" s="31"/>
      <c r="G262" s="31"/>
      <c r="H262" s="7"/>
      <c r="I262" s="7"/>
      <c r="J262" s="24"/>
      <c r="K262" s="24"/>
      <c r="L262" s="25">
        <f t="shared" si="4"/>
        <v>0</v>
      </c>
    </row>
    <row r="263" spans="1:12">
      <c r="A263" s="2">
        <v>260</v>
      </c>
      <c r="B263" s="28"/>
      <c r="C263" s="31"/>
      <c r="D263" s="31"/>
      <c r="E263" s="31"/>
      <c r="F263" s="31"/>
      <c r="G263" s="31"/>
      <c r="H263" s="7"/>
      <c r="I263" s="7"/>
      <c r="J263" s="24"/>
      <c r="K263" s="24"/>
      <c r="L263" s="25">
        <f t="shared" si="4"/>
        <v>0</v>
      </c>
    </row>
    <row r="264" spans="1:12">
      <c r="A264" s="2">
        <v>261</v>
      </c>
      <c r="B264" s="28"/>
      <c r="C264" s="31"/>
      <c r="D264" s="31"/>
      <c r="E264" s="31"/>
      <c r="F264" s="31"/>
      <c r="G264" s="31"/>
      <c r="H264" s="7"/>
      <c r="I264" s="7"/>
      <c r="J264" s="24"/>
      <c r="K264" s="24"/>
      <c r="L264" s="25">
        <f t="shared" si="4"/>
        <v>0</v>
      </c>
    </row>
    <row r="265" spans="1:12">
      <c r="A265" s="2">
        <v>262</v>
      </c>
      <c r="B265" s="28"/>
      <c r="C265" s="31"/>
      <c r="D265" s="31"/>
      <c r="E265" s="31"/>
      <c r="F265" s="31"/>
      <c r="G265" s="31"/>
      <c r="H265" s="7"/>
      <c r="I265" s="7"/>
      <c r="J265" s="24"/>
      <c r="K265" s="24"/>
      <c r="L265" s="25">
        <f t="shared" si="4"/>
        <v>0</v>
      </c>
    </row>
    <row r="266" spans="1:12">
      <c r="A266" s="2">
        <v>263</v>
      </c>
      <c r="B266" s="28"/>
      <c r="C266" s="31"/>
      <c r="D266" s="31"/>
      <c r="E266" s="31"/>
      <c r="F266" s="31"/>
      <c r="G266" s="31"/>
      <c r="H266" s="7"/>
      <c r="I266" s="7"/>
      <c r="J266" s="24"/>
      <c r="K266" s="24"/>
      <c r="L266" s="25">
        <f t="shared" si="4"/>
        <v>0</v>
      </c>
    </row>
    <row r="267" spans="1:12">
      <c r="A267" s="2">
        <v>264</v>
      </c>
      <c r="B267" s="28"/>
      <c r="C267" s="31"/>
      <c r="D267" s="31"/>
      <c r="E267" s="31"/>
      <c r="F267" s="31"/>
      <c r="G267" s="31"/>
      <c r="H267" s="7"/>
      <c r="I267" s="7"/>
      <c r="J267" s="24"/>
      <c r="K267" s="24"/>
      <c r="L267" s="25">
        <f t="shared" si="4"/>
        <v>0</v>
      </c>
    </row>
    <row r="268" spans="1:12">
      <c r="A268" s="2">
        <v>265</v>
      </c>
      <c r="B268" s="28"/>
      <c r="C268" s="31"/>
      <c r="D268" s="31"/>
      <c r="E268" s="31"/>
      <c r="F268" s="31"/>
      <c r="G268" s="31"/>
      <c r="H268" s="7"/>
      <c r="I268" s="7"/>
      <c r="J268" s="24"/>
      <c r="K268" s="24"/>
      <c r="L268" s="25">
        <f t="shared" si="4"/>
        <v>0</v>
      </c>
    </row>
    <row r="269" spans="1:12">
      <c r="A269" s="2">
        <v>266</v>
      </c>
      <c r="B269" s="28"/>
      <c r="C269" s="31"/>
      <c r="D269" s="31"/>
      <c r="E269" s="31"/>
      <c r="F269" s="31"/>
      <c r="G269" s="31"/>
      <c r="H269" s="7"/>
      <c r="I269" s="7"/>
      <c r="J269" s="24"/>
      <c r="K269" s="24"/>
      <c r="L269" s="25">
        <f t="shared" si="4"/>
        <v>0</v>
      </c>
    </row>
    <row r="270" spans="1:12">
      <c r="A270" s="2">
        <v>267</v>
      </c>
      <c r="B270" s="28"/>
      <c r="C270" s="31"/>
      <c r="D270" s="31"/>
      <c r="E270" s="31"/>
      <c r="F270" s="31"/>
      <c r="G270" s="31"/>
      <c r="H270" s="7"/>
      <c r="I270" s="7"/>
      <c r="J270" s="24"/>
      <c r="K270" s="24"/>
      <c r="L270" s="25">
        <f t="shared" si="4"/>
        <v>0</v>
      </c>
    </row>
    <row r="271" spans="1:12">
      <c r="A271" s="2">
        <v>268</v>
      </c>
      <c r="B271" s="28"/>
      <c r="C271" s="31"/>
      <c r="D271" s="31"/>
      <c r="E271" s="31"/>
      <c r="F271" s="31"/>
      <c r="G271" s="31"/>
      <c r="H271" s="7"/>
      <c r="I271" s="7"/>
      <c r="J271" s="24"/>
      <c r="K271" s="24"/>
      <c r="L271" s="25">
        <f t="shared" si="4"/>
        <v>0</v>
      </c>
    </row>
    <row r="272" spans="1:12">
      <c r="A272" s="2">
        <v>269</v>
      </c>
      <c r="B272" s="28"/>
      <c r="C272" s="31"/>
      <c r="D272" s="31"/>
      <c r="E272" s="31"/>
      <c r="F272" s="31"/>
      <c r="G272" s="31"/>
      <c r="H272" s="7"/>
      <c r="I272" s="7"/>
      <c r="J272" s="24"/>
      <c r="K272" s="24"/>
      <c r="L272" s="25">
        <f t="shared" si="4"/>
        <v>0</v>
      </c>
    </row>
    <row r="273" spans="1:12">
      <c r="A273" s="2">
        <v>270</v>
      </c>
      <c r="B273" s="28"/>
      <c r="C273" s="31"/>
      <c r="D273" s="31"/>
      <c r="E273" s="31"/>
      <c r="F273" s="31"/>
      <c r="G273" s="31"/>
      <c r="H273" s="7"/>
      <c r="I273" s="7"/>
      <c r="J273" s="24"/>
      <c r="K273" s="24"/>
      <c r="L273" s="25">
        <f t="shared" si="4"/>
        <v>0</v>
      </c>
    </row>
    <row r="274" spans="1:12">
      <c r="A274" s="2">
        <v>271</v>
      </c>
      <c r="B274" s="28"/>
      <c r="C274" s="31"/>
      <c r="D274" s="31"/>
      <c r="E274" s="31"/>
      <c r="F274" s="31"/>
      <c r="G274" s="31"/>
      <c r="H274" s="7"/>
      <c r="I274" s="7"/>
      <c r="J274" s="24"/>
      <c r="K274" s="24"/>
      <c r="L274" s="25">
        <f t="shared" si="4"/>
        <v>0</v>
      </c>
    </row>
    <row r="275" spans="1:12">
      <c r="A275" s="2">
        <v>272</v>
      </c>
      <c r="B275" s="28"/>
      <c r="C275" s="31"/>
      <c r="D275" s="31"/>
      <c r="E275" s="31"/>
      <c r="F275" s="31"/>
      <c r="G275" s="31"/>
      <c r="H275" s="7"/>
      <c r="I275" s="7"/>
      <c r="J275" s="24"/>
      <c r="K275" s="24"/>
      <c r="L275" s="25">
        <f t="shared" si="4"/>
        <v>0</v>
      </c>
    </row>
    <row r="276" spans="1:12">
      <c r="A276" s="2">
        <v>273</v>
      </c>
      <c r="B276" s="28"/>
      <c r="C276" s="31"/>
      <c r="D276" s="31"/>
      <c r="E276" s="31"/>
      <c r="F276" s="31"/>
      <c r="G276" s="31"/>
      <c r="H276" s="7"/>
      <c r="I276" s="7"/>
      <c r="J276" s="24"/>
      <c r="K276" s="24"/>
      <c r="L276" s="25">
        <f t="shared" si="4"/>
        <v>0</v>
      </c>
    </row>
    <row r="277" spans="1:12">
      <c r="A277" s="2">
        <v>274</v>
      </c>
      <c r="B277" s="28"/>
      <c r="C277" s="31"/>
      <c r="D277" s="31"/>
      <c r="E277" s="31"/>
      <c r="F277" s="31"/>
      <c r="G277" s="31"/>
      <c r="H277" s="7"/>
      <c r="I277" s="7"/>
      <c r="J277" s="24"/>
      <c r="K277" s="24"/>
      <c r="L277" s="25">
        <f t="shared" si="4"/>
        <v>0</v>
      </c>
    </row>
    <row r="278" spans="1:12">
      <c r="A278" s="2">
        <v>275</v>
      </c>
      <c r="B278" s="28"/>
      <c r="C278" s="31"/>
      <c r="D278" s="31"/>
      <c r="E278" s="31"/>
      <c r="F278" s="31"/>
      <c r="G278" s="31"/>
      <c r="H278" s="7"/>
      <c r="I278" s="7"/>
      <c r="J278" s="24"/>
      <c r="K278" s="24"/>
      <c r="L278" s="25">
        <f t="shared" si="4"/>
        <v>0</v>
      </c>
    </row>
    <row r="279" spans="1:12">
      <c r="A279" s="2">
        <v>276</v>
      </c>
      <c r="B279" s="28"/>
      <c r="C279" s="31"/>
      <c r="D279" s="31"/>
      <c r="E279" s="31"/>
      <c r="F279" s="31"/>
      <c r="G279" s="31"/>
      <c r="H279" s="7"/>
      <c r="I279" s="7"/>
      <c r="J279" s="24"/>
      <c r="K279" s="24"/>
      <c r="L279" s="25">
        <f t="shared" si="4"/>
        <v>0</v>
      </c>
    </row>
    <row r="280" spans="1:12">
      <c r="A280" s="2">
        <v>277</v>
      </c>
      <c r="B280" s="28"/>
      <c r="C280" s="31"/>
      <c r="D280" s="31"/>
      <c r="E280" s="31"/>
      <c r="F280" s="31"/>
      <c r="G280" s="31"/>
      <c r="H280" s="7"/>
      <c r="I280" s="7"/>
      <c r="J280" s="24"/>
      <c r="K280" s="24"/>
      <c r="L280" s="25">
        <f t="shared" si="4"/>
        <v>0</v>
      </c>
    </row>
    <row r="281" spans="1:12">
      <c r="L281" s="19">
        <f>SUM(L78:L87)</f>
        <v>6.86</v>
      </c>
    </row>
  </sheetData>
  <autoFilter ref="A3:L280"/>
  <mergeCells count="3">
    <mergeCell ref="A1:B1"/>
    <mergeCell ref="E1:G1"/>
    <mergeCell ref="P14:Y37"/>
  </mergeCells>
  <phoneticPr fontId="0" type="noConversion"/>
  <dataValidations count="1">
    <dataValidation type="decimal" operator="lessThan" allowBlank="1" showInputMessage="1" showErrorMessage="1" sqref="H4:H126">
      <formula1>20</formula1>
    </dataValidation>
  </dataValidations>
  <pageMargins left="0.39370078740157483" right="0.39370078740157483" top="0.39370078740157483" bottom="0.39370078740157483" header="0.51181102362204722" footer="0.51181102362204722"/>
  <pageSetup paperSize="9"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opLeftCell="F1" zoomScale="120" zoomScaleNormal="120" workbookViewId="0">
      <selection activeCell="G19" sqref="G19"/>
    </sheetView>
  </sheetViews>
  <sheetFormatPr defaultRowHeight="12.75"/>
  <cols>
    <col min="1" max="1" width="22" customWidth="1"/>
    <col min="2" max="2" width="6.85546875" customWidth="1"/>
    <col min="3" max="3" width="3.5703125" customWidth="1"/>
    <col min="4" max="4" width="31.5703125" customWidth="1"/>
    <col min="5" max="5" width="14.7109375" customWidth="1"/>
    <col min="7" max="7" width="12" customWidth="1"/>
    <col min="8" max="8" width="7.28515625" customWidth="1"/>
    <col min="9" max="9" width="9.5703125" customWidth="1"/>
    <col min="10" max="10" width="9.7109375" customWidth="1"/>
  </cols>
  <sheetData>
    <row r="1" spans="1:21">
      <c r="A1" s="3" t="s">
        <v>15</v>
      </c>
      <c r="B1">
        <f>COUNT('Учёт ставок'!J4:J280)</f>
        <v>207</v>
      </c>
    </row>
    <row r="2" spans="1:21" ht="13.5" thickBot="1">
      <c r="A2" s="3" t="s">
        <v>17</v>
      </c>
      <c r="G2" s="45" t="s">
        <v>53</v>
      </c>
      <c r="H2" s="45" t="s">
        <v>316</v>
      </c>
      <c r="I2" s="45" t="s">
        <v>313</v>
      </c>
      <c r="J2" s="47" t="s">
        <v>314</v>
      </c>
      <c r="K2" s="47" t="s">
        <v>315</v>
      </c>
      <c r="L2" s="45" t="s">
        <v>317</v>
      </c>
    </row>
    <row r="3" spans="1:21">
      <c r="A3" s="11" t="s">
        <v>22</v>
      </c>
      <c r="B3" s="8">
        <f>COUNTIF('Учёт ставок'!$D$4:D280,A3)</f>
        <v>0</v>
      </c>
      <c r="D3" s="14" t="s">
        <v>46</v>
      </c>
      <c r="E3" s="56">
        <f>COUNTIF('Учёт ставок'!C4:C280,"Экспресс")</f>
        <v>0</v>
      </c>
      <c r="G3" s="45" t="s">
        <v>110</v>
      </c>
      <c r="H3" s="45">
        <f>COUNTIF('Учёт ставок'!E4:E280,"Дания-1")</f>
        <v>9</v>
      </c>
      <c r="I3" s="45">
        <f>COUNTIFS('Учёт ставок'!E4:E280,"Дания-1",'Учёт ставок'!K4:K280,"&gt;5")</f>
        <v>6</v>
      </c>
      <c r="J3" s="45">
        <f>COUNTIFS('Учёт ставок'!E4:E280,"Дания-1",'Учёт ставок'!K4:K280,"=0")</f>
        <v>3</v>
      </c>
      <c r="K3" s="51">
        <f>AVERAGEIF('Учёт ставок'!E4:E280,"Дания-1",'Учёт ставок'!H4:H280)</f>
        <v>3.436666666666667</v>
      </c>
      <c r="L3" s="51">
        <f t="shared" ref="L3:L29" si="0">5/(SQRT(K3-1))*(I3*K3-J3)-I3*(5/SQRT(K3-1))</f>
        <v>37.220145906295286</v>
      </c>
    </row>
    <row r="4" spans="1:21">
      <c r="A4" s="12" t="s">
        <v>18</v>
      </c>
      <c r="B4" s="9">
        <f>COUNTIF('Учёт ставок'!$D$4:D280,A4)</f>
        <v>0</v>
      </c>
      <c r="D4" s="15" t="s">
        <v>47</v>
      </c>
      <c r="E4" s="57">
        <f>COUNTIF('Учёт ставок'!C4:C280,"Ординар")</f>
        <v>0</v>
      </c>
      <c r="G4" s="45" t="s">
        <v>407</v>
      </c>
      <c r="H4" s="45">
        <f>COUNTIF('Учёт ставок'!E4:E280,"Швеция-2")</f>
        <v>7</v>
      </c>
      <c r="I4" s="45">
        <f>COUNTIFS('Учёт ставок'!E4:E280,"Швеция-2",'Учёт ставок'!K4:K280,"&gt;5")</f>
        <v>5</v>
      </c>
      <c r="J4" s="45">
        <f>COUNTIFS('Учёт ставок'!E4:E280,"Швеция-2",'Учёт ставок'!K4:K280,"=0")</f>
        <v>2</v>
      </c>
      <c r="K4" s="51">
        <f>AVERAGEIF('Учёт ставок'!E4:E280,"Швеция-2",'Учёт ставок'!H4:H280)</f>
        <v>2.734285714285714</v>
      </c>
      <c r="L4" s="51">
        <f t="shared" si="0"/>
        <v>25.329611079884849</v>
      </c>
    </row>
    <row r="5" spans="1:21" ht="13.5" thickBot="1">
      <c r="A5" s="12" t="s">
        <v>20</v>
      </c>
      <c r="B5" s="9">
        <f>COUNTIF('Учёт ставок'!$D$4:D280,A5)</f>
        <v>0</v>
      </c>
      <c r="D5" s="16" t="s">
        <v>48</v>
      </c>
      <c r="E5" s="58">
        <f>COUNTIF('Учёт ставок'!C4:C280,"Система")</f>
        <v>0</v>
      </c>
      <c r="G5" s="45" t="s">
        <v>343</v>
      </c>
      <c r="H5" s="45">
        <f>COUNTIF('Учёт ставок'!E4:E280,"Австрия-1")</f>
        <v>8</v>
      </c>
      <c r="I5" s="45">
        <f>COUNTIFS('Учёт ставок'!E4:E280,"Австрия-1",'Учёт ставок'!K4:K280,"&gt;5")</f>
        <v>5</v>
      </c>
      <c r="J5" s="45">
        <f>COUNTIFS('Учёт ставок'!E4:E280,"Австрия-1",'Учёт ставок'!K4:K280,"=0")</f>
        <v>2</v>
      </c>
      <c r="K5" s="51">
        <f>AVERAGEIF('Учёт ставок'!E4:E280,"Австрия-1",'Учёт ставок'!H4:H280)</f>
        <v>2.6724999999999999</v>
      </c>
      <c r="L5" s="51">
        <f t="shared" si="0"/>
        <v>24.598846160673311</v>
      </c>
    </row>
    <row r="6" spans="1:21">
      <c r="A6" s="12" t="s">
        <v>23</v>
      </c>
      <c r="B6" s="9">
        <f>COUNTIF('Учёт ставок'!$D$4:D280,A6)</f>
        <v>0</v>
      </c>
      <c r="D6" s="3"/>
      <c r="E6" s="59"/>
      <c r="G6" s="48" t="s">
        <v>75</v>
      </c>
      <c r="H6" s="45">
        <f>COUNTIF('Учёт ставок'!E4:E280,"Уэльс-1")</f>
        <v>21</v>
      </c>
      <c r="I6" s="45">
        <f>COUNTIFS('Учёт ставок'!E4:E280,"Уэльс-1",'Учёт ставок'!K4:K280,"&gt;5")</f>
        <v>7</v>
      </c>
      <c r="J6" s="45">
        <f>COUNTIFS('Учёт ставок'!E4:E280,"Уэльс-1",'Учёт ставок'!K4:K280,"=0")</f>
        <v>12</v>
      </c>
      <c r="K6" s="51">
        <f>AVERAGEIF('Учёт ставок'!E4:E280,"Уэльс-1",'Учёт ставок'!H4:H280)</f>
        <v>3.4857142857142853</v>
      </c>
      <c r="L6" s="51">
        <f t="shared" si="0"/>
        <v>17.125298889916213</v>
      </c>
    </row>
    <row r="7" spans="1:21">
      <c r="A7" s="12" t="s">
        <v>24</v>
      </c>
      <c r="B7" s="9">
        <f>COUNTIF('Учёт ставок'!$D$4:D280,A7)</f>
        <v>0</v>
      </c>
      <c r="D7" s="14" t="s">
        <v>43</v>
      </c>
      <c r="E7" s="56">
        <f>COUNTIF('Учёт ставок'!L4:L280,"&lt;0")</f>
        <v>137</v>
      </c>
      <c r="G7" s="45" t="s">
        <v>72</v>
      </c>
      <c r="H7" s="45">
        <f>COUNTIF('Учёт ставок'!E4:E280,"Португалия-1")</f>
        <v>8</v>
      </c>
      <c r="I7" s="45">
        <f>COUNTIFS('Учёт ставок'!E4:E280,"Португалия-1",'Учёт ставок'!K4:K280,"&gt;5")</f>
        <v>3</v>
      </c>
      <c r="J7" s="45">
        <f>COUNTIFS('Учёт ставок'!E4:E280,"Португалия-1",'Учёт ставок'!K4:K280,"=0")</f>
        <v>5</v>
      </c>
      <c r="K7" s="51">
        <f>AVERAGEIF('Учёт ставок'!E4:E280,"Португалия-1",'Учёт ставок'!H4:H280)</f>
        <v>3.9624999999999995</v>
      </c>
      <c r="L7" s="51">
        <f t="shared" si="0"/>
        <v>11.29304937273459</v>
      </c>
    </row>
    <row r="8" spans="1:21">
      <c r="A8" s="12" t="s">
        <v>25</v>
      </c>
      <c r="B8" s="9">
        <f>COUNTIF('Учёт ставок'!$D$4:D280,A8)</f>
        <v>0</v>
      </c>
      <c r="D8" s="15" t="s">
        <v>44</v>
      </c>
      <c r="E8" s="57">
        <f>COUNTIF('Учёт ставок'!$L$4:L280,"&gt;0")</f>
        <v>60</v>
      </c>
      <c r="G8" s="45" t="s">
        <v>142</v>
      </c>
      <c r="H8" s="45">
        <f>COUNTIF('Учёт ставок'!E4:E280,"Голландия-2")</f>
        <v>8</v>
      </c>
      <c r="I8" s="45">
        <f>COUNTIFS('Учёт ставок'!E4:E280,"Голландия-2",'Учёт ставок'!K4:K280,"&gt;5")</f>
        <v>3</v>
      </c>
      <c r="J8" s="45">
        <f>COUNTIFS('Учёт ставок'!E4:E280,"Голландия-2",'Учёт ставок'!K4:K280,"=0")</f>
        <v>5</v>
      </c>
      <c r="K8" s="51">
        <f>AVERAGEIF('Учёт ставок'!E4:E280,"Голландия-2",'Учёт ставок'!H4:H280)</f>
        <v>3.69625</v>
      </c>
      <c r="L8" s="51">
        <f t="shared" si="0"/>
        <v>9.4053006698762296</v>
      </c>
      <c r="N8" s="98" t="s">
        <v>325</v>
      </c>
      <c r="O8" s="99"/>
      <c r="P8" s="100" t="s">
        <v>326</v>
      </c>
      <c r="Q8" s="101"/>
      <c r="R8" s="102"/>
      <c r="S8" s="103"/>
      <c r="T8" s="45"/>
      <c r="U8" s="45"/>
    </row>
    <row r="9" spans="1:21" ht="13.5" thickBot="1">
      <c r="A9" s="12" t="s">
        <v>26</v>
      </c>
      <c r="B9" s="9">
        <f>COUNTIF('Учёт ставок'!$D$4:D280,A9)</f>
        <v>0</v>
      </c>
      <c r="D9" s="16" t="s">
        <v>45</v>
      </c>
      <c r="E9" s="58">
        <f>B1-E8-E7</f>
        <v>10</v>
      </c>
      <c r="G9" s="48" t="s">
        <v>81</v>
      </c>
      <c r="H9" s="45">
        <f>COUNTIF('Учёт ставок'!E4:E280,"Шотландия-3")</f>
        <v>26</v>
      </c>
      <c r="I9" s="45">
        <f>COUNTIFS('Учёт ставок'!E4:E280,"Шотландия-3",'Учёт ставок'!K4:K280,"&gt;5")</f>
        <v>6</v>
      </c>
      <c r="J9" s="45">
        <f>COUNTIFS('Учёт ставок'!E4:E280,"Шотландия-3",'Учёт ставок'!K4:K280,"=0")</f>
        <v>16</v>
      </c>
      <c r="K9" s="51">
        <f>AVERAGEIF('Учёт ставок'!E4:E280,"Шотландия-3",'Учёт ставок'!H4:H280)</f>
        <v>3.9884615384615381</v>
      </c>
      <c r="L9" s="51">
        <f t="shared" si="0"/>
        <v>5.5844002529838548</v>
      </c>
      <c r="N9" s="78" t="s">
        <v>319</v>
      </c>
      <c r="O9" s="79"/>
      <c r="P9" s="80" t="s">
        <v>320</v>
      </c>
      <c r="Q9" s="81"/>
      <c r="R9" s="82" t="s">
        <v>323</v>
      </c>
      <c r="S9" s="83"/>
      <c r="T9" s="108" t="s">
        <v>324</v>
      </c>
      <c r="U9" s="109"/>
    </row>
    <row r="10" spans="1:21">
      <c r="A10" s="12" t="s">
        <v>27</v>
      </c>
      <c r="B10" s="9">
        <f>COUNTIF('Учёт ставок'!$D$4:D280,A10)</f>
        <v>0</v>
      </c>
      <c r="D10" s="3"/>
      <c r="E10" s="52"/>
      <c r="G10" s="47" t="s">
        <v>153</v>
      </c>
      <c r="H10" s="45">
        <f>COUNTIF('Учёт ставок'!E4:E280,"Сев.Ирландия")</f>
        <v>7</v>
      </c>
      <c r="I10" s="45">
        <f>COUNTIFS('Учёт ставок'!E4:E280,"Сев.Ирландия",'Учёт ставок'!K4:K280,"&gt;5")</f>
        <v>2</v>
      </c>
      <c r="J10" s="45">
        <f>COUNTIFS('Учёт ставок'!E4:E280,"Сев.Ирландия",'Учёт ставок'!K4:K280,"=0")</f>
        <v>4</v>
      </c>
      <c r="K10" s="51">
        <f>AVERAGEIF('Учёт ставок'!E4:E280,"Сев.Ирландия",'Учёт ставок'!H4:H280)</f>
        <v>3.8142857142857136</v>
      </c>
      <c r="L10" s="51">
        <f t="shared" si="0"/>
        <v>4.853921211144951</v>
      </c>
      <c r="N10" s="45" t="s">
        <v>321</v>
      </c>
      <c r="O10" s="45" t="s">
        <v>322</v>
      </c>
      <c r="P10" s="45" t="s">
        <v>321</v>
      </c>
      <c r="Q10" s="45" t="s">
        <v>322</v>
      </c>
      <c r="R10" s="45" t="s">
        <v>321</v>
      </c>
      <c r="S10" s="45" t="s">
        <v>322</v>
      </c>
      <c r="T10" s="45" t="s">
        <v>321</v>
      </c>
      <c r="U10" s="45" t="s">
        <v>322</v>
      </c>
    </row>
    <row r="11" spans="1:21">
      <c r="A11" s="12" t="s">
        <v>19</v>
      </c>
      <c r="B11" s="9">
        <f>COUNTIF('Учёт ставок'!$D$4:D280,A11)</f>
        <v>0</v>
      </c>
      <c r="D11" s="14" t="s">
        <v>13</v>
      </c>
      <c r="E11" s="53">
        <f>AVERAGE('Учёт ставок'!J4:J280)</f>
        <v>3.3002415458937202</v>
      </c>
      <c r="G11" s="45" t="s">
        <v>141</v>
      </c>
      <c r="H11" s="45">
        <f>COUNTIF('Учёт ставок'!E4:E280,"Англия-2")</f>
        <v>2</v>
      </c>
      <c r="I11" s="45">
        <f>COUNTIFS('Учёт ставок'!E4:E280,"Англия-2",'Учёт ставок'!K4:K280,"&gt;5")</f>
        <v>1</v>
      </c>
      <c r="J11" s="45">
        <f>COUNTIFS('Учёт ставок'!E4:E280,"Англия-2",'Учёт ставок'!K4:K280,"=0")</f>
        <v>1</v>
      </c>
      <c r="K11" s="51">
        <f>AVERAGEIF('Учёт ставок'!E4:E280,"Англия-2",'Учёт ставок'!H4:H280)</f>
        <v>3.4249999999999998</v>
      </c>
      <c r="L11" s="51">
        <f t="shared" si="0"/>
        <v>4.5753992558590397</v>
      </c>
      <c r="N11" s="61">
        <v>4</v>
      </c>
      <c r="O11" s="61">
        <v>1</v>
      </c>
      <c r="P11" s="61">
        <v>3</v>
      </c>
      <c r="Q11" s="61">
        <v>4</v>
      </c>
      <c r="R11" s="61">
        <v>9</v>
      </c>
      <c r="S11" s="61">
        <v>2</v>
      </c>
      <c r="T11" s="61">
        <v>5</v>
      </c>
      <c r="U11" s="61">
        <v>6</v>
      </c>
    </row>
    <row r="12" spans="1:21">
      <c r="A12" s="12" t="s">
        <v>28</v>
      </c>
      <c r="B12" s="9">
        <f>COUNTIF('Учёт ставок'!$D$4:D280,A12)</f>
        <v>0</v>
      </c>
      <c r="D12" s="15" t="s">
        <v>49</v>
      </c>
      <c r="E12" s="54">
        <f>MAX('Учёт ставок'!J4:J280)</f>
        <v>9</v>
      </c>
      <c r="G12" s="45" t="s">
        <v>113</v>
      </c>
      <c r="H12" s="45">
        <f>COUNTIF('Учёт ставок'!E4:E280,"Португалия-2")</f>
        <v>6</v>
      </c>
      <c r="I12" s="45">
        <f>COUNTIFS('Учёт ставок'!E4:E280,"Португалия-2",'Учёт ставок'!K4:K280,"&gt;5")</f>
        <v>2</v>
      </c>
      <c r="J12" s="45">
        <f>COUNTIFS('Учёт ставок'!E4:E280,"Португалия-2",'Учёт ставок'!K4:K280,"=0")</f>
        <v>4</v>
      </c>
      <c r="K12" s="51">
        <f>AVERAGEIF('Учёт ставок'!E4:E280,"Португалия-2",'Учёт ставок'!H4:H280)</f>
        <v>3.5666666666666669</v>
      </c>
      <c r="L12" s="51">
        <f t="shared" si="0"/>
        <v>3.5370641089500365</v>
      </c>
      <c r="N12" s="94">
        <f>(N11+O11)/N11</f>
        <v>1.25</v>
      </c>
      <c r="O12" s="84">
        <f>AVERAGE(N12,Q12)</f>
        <v>1.7916666666666667</v>
      </c>
      <c r="P12" s="85"/>
      <c r="Q12" s="96">
        <f>(P11+Q11)/P11</f>
        <v>2.3333333333333335</v>
      </c>
      <c r="R12" s="104">
        <f>(R11+S11)/R11</f>
        <v>1.2222222222222223</v>
      </c>
      <c r="S12" s="105"/>
      <c r="T12" s="110">
        <f>(T11+U11)/T11</f>
        <v>2.2000000000000002</v>
      </c>
      <c r="U12" s="111"/>
    </row>
    <row r="13" spans="1:21" ht="13.5" thickBot="1">
      <c r="A13" s="12" t="s">
        <v>29</v>
      </c>
      <c r="B13" s="9">
        <f>COUNTIF('Учёт ставок'!$D$4:D280,A13)</f>
        <v>0</v>
      </c>
      <c r="D13" s="16" t="s">
        <v>50</v>
      </c>
      <c r="E13" s="55">
        <f>MIN('Учёт ставок'!J4:J280)</f>
        <v>2</v>
      </c>
      <c r="G13" s="48" t="s">
        <v>229</v>
      </c>
      <c r="H13" s="45">
        <f>COUNTIF('Учёт ставок'!E4:E280,"Франция-1")</f>
        <v>5</v>
      </c>
      <c r="I13" s="45">
        <f>COUNTIFS('Учёт ставок'!E4:E280,"Франция-1",'Учёт ставок'!K4:K280,"&gt;5")</f>
        <v>1</v>
      </c>
      <c r="J13" s="45">
        <f>COUNTIFS('Учёт ставок'!E4:E280,"Франция-1",'Учёт ставок'!K4:K280,"=0")</f>
        <v>4</v>
      </c>
      <c r="K13" s="51">
        <f>AVERAGEIF('Учёт ставок'!E4:E280,"Франция-1",'Учёт ставок'!H4:H280)</f>
        <v>5.7200000000000006</v>
      </c>
      <c r="L13" s="51">
        <f t="shared" si="0"/>
        <v>1.6570343122169833</v>
      </c>
      <c r="N13" s="95"/>
      <c r="O13" s="86"/>
      <c r="P13" s="87"/>
      <c r="Q13" s="97"/>
      <c r="R13" s="106"/>
      <c r="S13" s="107"/>
      <c r="T13" s="112"/>
      <c r="U13" s="113"/>
    </row>
    <row r="14" spans="1:21">
      <c r="A14" s="12" t="s">
        <v>30</v>
      </c>
      <c r="B14" s="9">
        <f>COUNTIF('Учёт ставок'!$D$4:D280,A14)</f>
        <v>0</v>
      </c>
      <c r="E14" s="52"/>
      <c r="G14" s="45" t="s">
        <v>410</v>
      </c>
      <c r="H14" s="45">
        <f>COUNTIF('Учёт ставок'!E4:E280,"Норвегия-2")</f>
        <v>5</v>
      </c>
      <c r="I14" s="45">
        <f>COUNTIFS('Учёт ставок'!E4:E280,"Норвегия-2",'Учёт ставок'!K4:K280,"&gt;5")</f>
        <v>2</v>
      </c>
      <c r="J14" s="45">
        <f>COUNTIFS('Учёт ставок'!E4:E280,"Норвегия-2",'Учёт ставок'!K4:K280,"=0")</f>
        <v>3</v>
      </c>
      <c r="K14" s="51">
        <f>AVERAGEIF('Учёт ставок'!E4:E280,"Норвегия-2",'Учёт ставок'!H4:H280)</f>
        <v>2.6719999999999997</v>
      </c>
      <c r="L14" s="51">
        <f t="shared" si="0"/>
        <v>1.3301796835129513</v>
      </c>
      <c r="N14" s="51"/>
      <c r="O14" s="51"/>
      <c r="P14" s="88">
        <f>AVERAGE(O12,S14)</f>
        <v>1.7513888888888891</v>
      </c>
      <c r="Q14" s="89"/>
      <c r="R14" s="90"/>
      <c r="S14" s="74">
        <f>AVERAGE(R12,T12)</f>
        <v>1.7111111111111112</v>
      </c>
      <c r="T14" s="75"/>
      <c r="U14" s="51"/>
    </row>
    <row r="15" spans="1:21">
      <c r="A15" s="12" t="s">
        <v>31</v>
      </c>
      <c r="B15" s="9">
        <f>COUNTIF('Учёт ставок'!$D$4:D280,A15)</f>
        <v>0</v>
      </c>
      <c r="D15" s="14" t="s">
        <v>14</v>
      </c>
      <c r="E15" s="53">
        <f>AVERAGE('Учёт ставок'!H4:H280)</f>
        <v>3.6050120772946856</v>
      </c>
      <c r="G15" s="45" t="s">
        <v>383</v>
      </c>
      <c r="H15" s="45">
        <f>COUNTIF('Учёт ставок'!E4:E280,"Норвегия-1")</f>
        <v>3</v>
      </c>
      <c r="I15" s="45">
        <f>COUNTIFS('Учёт ставок'!E4:E280,"Норвегия-1",'Учёт ставок'!K4:K280,"&gt;5")</f>
        <v>1</v>
      </c>
      <c r="J15" s="45">
        <f>COUNTIFS('Учёт ставок'!E4:E280,"Норвегия-1",'Учёт ставок'!K4:K280,"=0")</f>
        <v>2</v>
      </c>
      <c r="K15" s="51">
        <f>AVERAGEIF('Учёт ставок'!E4:E280,"Норвегия-1",'Учёт ставок'!H4:H280)</f>
        <v>3.3333333333333335</v>
      </c>
      <c r="L15" s="51">
        <f t="shared" si="0"/>
        <v>1.0910894511799625</v>
      </c>
      <c r="N15" s="51"/>
      <c r="O15" s="51"/>
      <c r="P15" s="91"/>
      <c r="Q15" s="92"/>
      <c r="R15" s="93"/>
      <c r="S15" s="76"/>
      <c r="T15" s="77"/>
      <c r="U15" s="51"/>
    </row>
    <row r="16" spans="1:21">
      <c r="A16" s="12" t="s">
        <v>32</v>
      </c>
      <c r="B16" s="9">
        <f>COUNTIF('Учёт ставок'!$D$4:D280,A16)</f>
        <v>0</v>
      </c>
      <c r="D16" s="15" t="s">
        <v>51</v>
      </c>
      <c r="E16" s="54">
        <f>MAX('Учёт ставок'!H4:H280)</f>
        <v>8.1</v>
      </c>
      <c r="G16" s="45" t="s">
        <v>69</v>
      </c>
      <c r="H16" s="45">
        <f>COUNTIF('Учёт ставок'!E4:E280,"Голландия-1")</f>
        <v>4</v>
      </c>
      <c r="I16" s="45">
        <f>COUNTIFS('Учёт ставок'!E4:E280,"Голландия-1",'Учёт ставок'!K4:K280,"&gt;5")</f>
        <v>1</v>
      </c>
      <c r="J16" s="45">
        <f>COUNTIFS('Учёт ставок'!E4:E280,"Голландия-1",'Учёт ставок'!K4:K280,"=0")</f>
        <v>3</v>
      </c>
      <c r="K16" s="51">
        <f>AVERAGEIF('Учёт ставок'!E4:E280,"Голландия-1",'Учёт ставок'!H4:H280)</f>
        <v>3.75</v>
      </c>
      <c r="L16" s="51">
        <f t="shared" si="0"/>
        <v>-0.75377836144440913</v>
      </c>
      <c r="N16" s="51"/>
      <c r="O16" s="51"/>
      <c r="P16" s="51"/>
      <c r="Q16" s="51"/>
      <c r="R16" s="51"/>
      <c r="S16" s="51"/>
      <c r="T16" s="51"/>
      <c r="U16" s="51"/>
    </row>
    <row r="17" spans="1:22" ht="13.5" thickBot="1">
      <c r="A17" s="12" t="s">
        <v>33</v>
      </c>
      <c r="B17" s="9">
        <f>COUNTIF('Учёт ставок'!$D$4:D280,A17)</f>
        <v>0</v>
      </c>
      <c r="D17" s="16" t="s">
        <v>52</v>
      </c>
      <c r="E17" s="55">
        <f>MIN('Учёт ставок'!H4:H280)</f>
        <v>1.55</v>
      </c>
      <c r="G17" s="45" t="s">
        <v>107</v>
      </c>
      <c r="H17" s="45">
        <f>COUNTIF('Учёт ставок'!E4:E280,"Греция-1")</f>
        <v>1</v>
      </c>
      <c r="I17" s="45">
        <f>COUNTIFS('Учёт ставок'!E4:E280,"Греция-1",'Учёт ставок'!K4:K280,"&gt;5")</f>
        <v>0</v>
      </c>
      <c r="J17" s="45">
        <f>COUNTIFS('Учёт ставок'!E4:E280,"Греция-1",'Учёт ставок'!K4:K280,"=0")</f>
        <v>1</v>
      </c>
      <c r="K17" s="51">
        <f>AVERAGEIF('Учёт ставок'!E4:E280,"Греция-1",'Учёт ставок'!H4:H280)</f>
        <v>4.55</v>
      </c>
      <c r="L17" s="51">
        <f t="shared" si="0"/>
        <v>-2.6537244621713763</v>
      </c>
      <c r="N17" s="52"/>
      <c r="O17" s="52"/>
      <c r="P17" s="52"/>
      <c r="Q17" s="52"/>
      <c r="R17" s="52"/>
      <c r="S17" s="52"/>
      <c r="T17" s="52"/>
      <c r="U17" s="52"/>
    </row>
    <row r="18" spans="1:22">
      <c r="A18" s="12" t="s">
        <v>34</v>
      </c>
      <c r="B18" s="9">
        <f>COUNTIF('Учёт ставок'!$D$4:D280,A18)</f>
        <v>0</v>
      </c>
      <c r="G18" s="48" t="s">
        <v>104</v>
      </c>
      <c r="H18" s="45">
        <f>COUNTIF('Учёт ставок'!E4:E280,"Германия-2")</f>
        <v>1</v>
      </c>
      <c r="I18" s="45">
        <f>COUNTIFS('Учёт ставок'!E4:E280,"Германия-2",'Учёт ставок'!K4:K280,"&gt;5")</f>
        <v>0</v>
      </c>
      <c r="J18" s="45">
        <f>COUNTIFS('Учёт ставок'!E4:E280,"Германия-2",'Учёт ставок'!K4:K280,"=0")</f>
        <v>1</v>
      </c>
      <c r="K18" s="51">
        <f>AVERAGEIF('Учёт ставок'!E4:E280,"Германия-2",'Учёт ставок'!H4:H280)</f>
        <v>4</v>
      </c>
      <c r="L18" s="51">
        <f t="shared" si="0"/>
        <v>-2.8867513459481291</v>
      </c>
      <c r="N18" s="72"/>
      <c r="O18" s="73"/>
      <c r="P18" s="73"/>
      <c r="Q18" s="73"/>
      <c r="R18" s="73"/>
      <c r="S18" s="73"/>
      <c r="T18" s="73"/>
      <c r="U18" s="73"/>
      <c r="V18" s="73"/>
    </row>
    <row r="19" spans="1:22">
      <c r="A19" s="12" t="s">
        <v>35</v>
      </c>
      <c r="B19" s="9">
        <f>COUNTIF('Учёт ставок'!$D$4:D280,A19)</f>
        <v>0</v>
      </c>
      <c r="G19" s="45" t="s">
        <v>352</v>
      </c>
      <c r="H19" s="45">
        <f>COUNTIF('Учёт ставок'!E4:E280,"Дания-2")</f>
        <v>11</v>
      </c>
      <c r="I19" s="45">
        <f>COUNTIFS('Учёт ставок'!E4:E280,"Дания-2",'Учёт ставок'!K4:K280,"&gt;5")</f>
        <v>2</v>
      </c>
      <c r="J19" s="45">
        <f>COUNTIFS('Учёт ставок'!E4:E280,"Дания-2",'Учёт ставок'!K4:K280,"=0")</f>
        <v>7</v>
      </c>
      <c r="K19" s="51">
        <f>AVERAGEIF('Учёт ставок'!E4:E280,"Дания-2",'Учёт ставок'!H4:H280)</f>
        <v>2.831590909090909</v>
      </c>
      <c r="L19" s="51">
        <f t="shared" si="0"/>
        <v>-12.327877435282918</v>
      </c>
      <c r="N19" s="73"/>
      <c r="O19" s="73"/>
      <c r="P19" s="73"/>
      <c r="Q19" s="73"/>
      <c r="R19" s="73"/>
      <c r="S19" s="73"/>
      <c r="T19" s="73"/>
      <c r="U19" s="73"/>
      <c r="V19" s="73"/>
    </row>
    <row r="20" spans="1:22">
      <c r="A20" s="12" t="s">
        <v>36</v>
      </c>
      <c r="B20" s="9">
        <f>COUNTIF('Учёт ставок'!$D$4:D280,A20)</f>
        <v>0</v>
      </c>
      <c r="G20" s="48" t="s">
        <v>80</v>
      </c>
      <c r="H20" s="45">
        <f>COUNTIF('Учёт ставок'!E4:E280,"Шотландия-2")</f>
        <v>5</v>
      </c>
      <c r="I20" s="45">
        <f>COUNTIFS('Учёт ставок'!E4:E280,"Шотландия-2",'Учёт ставок'!K4:K280,"&gt;5")</f>
        <v>1</v>
      </c>
      <c r="J20" s="45">
        <f>COUNTIFS('Учёт ставок'!E4:E280,"Шотландия-2",'Учёт ставок'!K4:K280,"=0")</f>
        <v>4</v>
      </c>
      <c r="K20" s="51">
        <f>AVERAGEIF('Учёт ставок'!E4:E280,"Шотландия-2",'Учёт ставок'!H4:H280)</f>
        <v>3.69</v>
      </c>
      <c r="L20" s="51">
        <f t="shared" si="0"/>
        <v>-3.9936054835654855</v>
      </c>
      <c r="N20" s="73"/>
      <c r="O20" s="73"/>
      <c r="P20" s="73"/>
      <c r="Q20" s="73"/>
      <c r="R20" s="73"/>
      <c r="S20" s="73"/>
      <c r="T20" s="73"/>
      <c r="U20" s="73"/>
      <c r="V20" s="73"/>
    </row>
    <row r="21" spans="1:22">
      <c r="A21" s="12" t="s">
        <v>21</v>
      </c>
      <c r="B21" s="9">
        <f>COUNTIF('Учёт ставок'!$D$4:D280,A21)</f>
        <v>0</v>
      </c>
      <c r="G21" s="45" t="s">
        <v>63</v>
      </c>
      <c r="H21" s="45">
        <f>COUNTIF('Учёт ставок'!E4:E280,"Германия-1")</f>
        <v>2</v>
      </c>
      <c r="I21" s="45">
        <f>COUNTIFS('Учёт ставок'!E4:E280,"Германия-1",'Учёт ставок'!K4:K280,"&gt;5")</f>
        <v>0</v>
      </c>
      <c r="J21" s="45">
        <f>COUNTIFS('Учёт ставок'!E4:E280,"Германия-1",'Учёт ставок'!K4:K280,"=0")</f>
        <v>2</v>
      </c>
      <c r="K21" s="51">
        <f>AVERAGEIF('Учёт ставок'!E4:E280,"Германия-1",'Учёт ставок'!H4:H280)</f>
        <v>6.3</v>
      </c>
      <c r="L21" s="51">
        <f t="shared" si="0"/>
        <v>-4.343722427630694</v>
      </c>
      <c r="N21" s="73"/>
      <c r="O21" s="73"/>
      <c r="P21" s="73"/>
      <c r="Q21" s="73"/>
      <c r="R21" s="73"/>
      <c r="S21" s="73"/>
      <c r="T21" s="73"/>
      <c r="U21" s="73"/>
      <c r="V21" s="73"/>
    </row>
    <row r="22" spans="1:22">
      <c r="A22" s="12" t="s">
        <v>11</v>
      </c>
      <c r="B22" s="9">
        <f>COUNTIF('Учёт ставок'!$D$4:D280,A22)</f>
        <v>0</v>
      </c>
      <c r="G22" s="45" t="s">
        <v>179</v>
      </c>
      <c r="H22" s="45">
        <f>COUNTIF('Учёт ставок'!E4:E280,"Турция-2")</f>
        <v>2</v>
      </c>
      <c r="I22" s="45">
        <f>COUNTIFS('Учёт ставок'!E4:E280,"Турция-2",'Учёт ставок'!K4:K280,"&gt;5")</f>
        <v>0</v>
      </c>
      <c r="J22" s="45">
        <f>COUNTIFS('Учёт ставок'!E4:E280,"Турция-2",'Учёт ставок'!K4:K280,"=0")</f>
        <v>2</v>
      </c>
      <c r="K22" s="51">
        <f>AVERAGEIF('Учёт ставок'!E4:E280,"Турция-2",'Учёт ставок'!H4:H280)</f>
        <v>3.9</v>
      </c>
      <c r="L22" s="51">
        <f t="shared" si="0"/>
        <v>-5.8722021951470351</v>
      </c>
      <c r="N22" s="73"/>
      <c r="O22" s="73"/>
      <c r="P22" s="73"/>
      <c r="Q22" s="73"/>
      <c r="R22" s="73"/>
      <c r="S22" s="73"/>
      <c r="T22" s="73"/>
      <c r="U22" s="73"/>
      <c r="V22" s="73"/>
    </row>
    <row r="23" spans="1:22">
      <c r="A23" s="12" t="s">
        <v>37</v>
      </c>
      <c r="B23" s="9">
        <f>COUNTIF('Учёт ставок'!$D$4:D280,A23)</f>
        <v>0</v>
      </c>
      <c r="G23" s="45" t="s">
        <v>99</v>
      </c>
      <c r="H23" s="45">
        <f>COUNTIF('Учёт ставок'!E4:E280,"Болгария-1")</f>
        <v>6</v>
      </c>
      <c r="I23" s="45">
        <f>COUNTIFS('Учёт ставок'!E4:E280,"Болгария-1",'Учёт ставок'!K4:K280,"&gt;5")</f>
        <v>1</v>
      </c>
      <c r="J23" s="45">
        <f>COUNTIFS('Учёт ставок'!E4:E280,"Болгария-1",'Учёт ставок'!K4:K280,"=0")</f>
        <v>5</v>
      </c>
      <c r="K23" s="51">
        <f>AVERAGEIF('Учёт ставок'!E4:E280,"Болгария-1",'Учёт ставок'!H4:H280)</f>
        <v>3.1916666666666664</v>
      </c>
      <c r="L23" s="51">
        <f t="shared" si="0"/>
        <v>-9.4848705488405933</v>
      </c>
      <c r="N23" s="73"/>
      <c r="O23" s="73"/>
      <c r="P23" s="73"/>
      <c r="Q23" s="73"/>
      <c r="R23" s="73"/>
      <c r="S23" s="73"/>
      <c r="T23" s="73"/>
      <c r="U23" s="73"/>
      <c r="V23" s="73"/>
    </row>
    <row r="24" spans="1:22">
      <c r="A24" s="12" t="s">
        <v>38</v>
      </c>
      <c r="B24" s="9">
        <f>COUNTIF('Учёт ставок'!$D$4:D280,A24)</f>
        <v>0</v>
      </c>
      <c r="G24" s="45" t="s">
        <v>404</v>
      </c>
      <c r="H24" s="45">
        <f>COUNTIF('Учёт ставок'!E4:E280,"Швеция-1")</f>
        <v>3</v>
      </c>
      <c r="I24" s="45">
        <f>COUNTIFS('Учёт ставок'!E4:E280,"Швеция-1",'Учёт ставок'!K4:K280,"&gt;5")</f>
        <v>0</v>
      </c>
      <c r="J24" s="45">
        <f>COUNTIFS('Учёт ставок'!E4:E280,"Швеция-1",'Учёт ставок'!K4:K280,"=0")</f>
        <v>3</v>
      </c>
      <c r="K24" s="45">
        <f>AVERAGEIF('Учёт ставок'!E4:E280,"Швеция-1",'Учёт ставок'!H4:H280)</f>
        <v>3.0500000000000003</v>
      </c>
      <c r="L24" s="51">
        <f t="shared" si="0"/>
        <v>-10.476454436543671</v>
      </c>
      <c r="N24" s="73"/>
      <c r="O24" s="73"/>
      <c r="P24" s="73"/>
      <c r="Q24" s="73"/>
      <c r="R24" s="73"/>
      <c r="S24" s="73"/>
      <c r="T24" s="73"/>
      <c r="U24" s="73"/>
      <c r="V24" s="73"/>
    </row>
    <row r="25" spans="1:22">
      <c r="A25" s="12" t="s">
        <v>10</v>
      </c>
      <c r="B25" s="9">
        <f>COUNTIF('Учёт ставок'!$D$4:D280,A25)</f>
        <v>207</v>
      </c>
      <c r="G25" s="45" t="s">
        <v>148</v>
      </c>
      <c r="H25" s="45">
        <f>COUNTIF('Учёт ставок'!E4:E280,"Англия-1")</f>
        <v>4</v>
      </c>
      <c r="I25" s="45">
        <f>COUNTIFS('Учёт ставок'!E4:E280,"Англия-1",'Учёт ставок'!K4:K280,"&gt;5")</f>
        <v>0</v>
      </c>
      <c r="J25" s="45">
        <f>COUNTIFS('Учёт ставок'!E4:E280,"Англия-1",'Учёт ставок'!K4:K280,"=0")</f>
        <v>4</v>
      </c>
      <c r="K25" s="51">
        <f>AVERAGEIF('Учёт ставок'!E4:E280,"Англия-1",'Учёт ставок'!H4:H280)</f>
        <v>4.3000000000000007</v>
      </c>
      <c r="L25" s="51">
        <f t="shared" si="0"/>
        <v>-11.009637651263604</v>
      </c>
      <c r="N25" s="73"/>
      <c r="O25" s="73"/>
      <c r="P25" s="73"/>
      <c r="Q25" s="73"/>
      <c r="R25" s="73"/>
      <c r="S25" s="73"/>
      <c r="T25" s="73"/>
      <c r="U25" s="73"/>
      <c r="V25" s="73"/>
    </row>
    <row r="26" spans="1:22">
      <c r="A26" s="12" t="s">
        <v>39</v>
      </c>
      <c r="B26" s="9">
        <f>COUNTIF('Учёт ставок'!$D$4:D280,A26)</f>
        <v>0</v>
      </c>
      <c r="G26" s="48" t="s">
        <v>172</v>
      </c>
      <c r="H26" s="45">
        <f>COUNTIF('Учёт ставок'!E4:E280,"Италия-2")</f>
        <v>4</v>
      </c>
      <c r="I26" s="45">
        <f>COUNTIFS('Учёт ставок'!E4:E280,"Италия-2",'Учёт ставок'!K4:K280,"&gt;5")</f>
        <v>0</v>
      </c>
      <c r="J26" s="45">
        <f>COUNTIFS('Учёт ставок'!E4:E280,"Италия-2",'Учёт ставок'!K4:K280,"=0")</f>
        <v>4</v>
      </c>
      <c r="K26" s="51">
        <f>AVERAGEIF('Учёт ставок'!E4:E280,"Италия-2",'Учёт ставок'!H4:H280)</f>
        <v>3.9375</v>
      </c>
      <c r="L26" s="51">
        <f t="shared" si="0"/>
        <v>-11.669199319831565</v>
      </c>
      <c r="N26" s="73"/>
      <c r="O26" s="73"/>
      <c r="P26" s="73"/>
      <c r="Q26" s="73"/>
      <c r="R26" s="73"/>
      <c r="S26" s="73"/>
      <c r="T26" s="73"/>
      <c r="U26" s="73"/>
      <c r="V26" s="73"/>
    </row>
    <row r="27" spans="1:22">
      <c r="A27" s="12" t="s">
        <v>12</v>
      </c>
      <c r="B27" s="9">
        <f>COUNTIF('Учёт ставок'!$D$4:D280,A27)</f>
        <v>0</v>
      </c>
      <c r="G27" s="48" t="s">
        <v>66</v>
      </c>
      <c r="H27" s="45">
        <f>COUNTIF('Учёт ставок'!E4:E280,"Италия-1")</f>
        <v>4</v>
      </c>
      <c r="I27" s="45">
        <f>COUNTIFS('Учёт ставок'!E4:E280,"Италия-1",'Учёт ставок'!K4:K280,"&gt;5")</f>
        <v>0</v>
      </c>
      <c r="J27" s="45">
        <f>COUNTIFS('Учёт ставок'!E4:E280,"Италия-1",'Учёт ставок'!K4:K280,"=0")</f>
        <v>4</v>
      </c>
      <c r="K27" s="51">
        <f>AVERAGEIF('Учёт ставок'!E4:E280,"Италия-1",'Учёт ставок'!H4:H280)</f>
        <v>3.9249999999999998</v>
      </c>
      <c r="L27" s="51">
        <f t="shared" si="0"/>
        <v>-11.694106924093722</v>
      </c>
      <c r="N27" s="73"/>
      <c r="O27" s="73"/>
      <c r="P27" s="73"/>
      <c r="Q27" s="73"/>
      <c r="R27" s="73"/>
      <c r="S27" s="73"/>
      <c r="T27" s="73"/>
      <c r="U27" s="73"/>
      <c r="V27" s="73"/>
    </row>
    <row r="28" spans="1:22">
      <c r="A28" s="12" t="s">
        <v>40</v>
      </c>
      <c r="B28" s="9">
        <f>COUNTIF('Учёт ставок'!$D$4:D280,A28)</f>
        <v>0</v>
      </c>
      <c r="G28" s="48" t="s">
        <v>88</v>
      </c>
      <c r="H28" s="45">
        <f>COUNTIF('Учёт ставок'!E4:E280,"Шотландия-4")</f>
        <v>5</v>
      </c>
      <c r="I28" s="45">
        <f>COUNTIFS('Учёт ставок'!E4:E280,"Шотландия-4",'Учёт ставок'!K4:K280,"&gt;5")</f>
        <v>0</v>
      </c>
      <c r="J28" s="45">
        <f>COUNTIFS('Учёт ставок'!E4:E280,"Шотландия-4",'Учёт ставок'!K4:K280,"=0")</f>
        <v>5</v>
      </c>
      <c r="K28" s="51">
        <f>AVERAGEIF('Учёт ставок'!E4:E280,"Шотландия-4",'Учёт ставок'!H4:H280)</f>
        <v>3.4560000000000004</v>
      </c>
      <c r="L28" s="51">
        <f t="shared" si="0"/>
        <v>-15.952392527817372</v>
      </c>
      <c r="N28" s="73"/>
      <c r="O28" s="73"/>
      <c r="P28" s="73"/>
      <c r="Q28" s="73"/>
      <c r="R28" s="73"/>
      <c r="S28" s="73"/>
      <c r="T28" s="73"/>
      <c r="U28" s="73"/>
      <c r="V28" s="73"/>
    </row>
    <row r="29" spans="1:22">
      <c r="A29" s="12" t="s">
        <v>41</v>
      </c>
      <c r="B29" s="9">
        <f>COUNTIF('Учёт ставок'!$D$4:D280,A29)</f>
        <v>0</v>
      </c>
      <c r="G29" s="48" t="s">
        <v>218</v>
      </c>
      <c r="H29" s="45">
        <f>COUNTIF('Учёт ставок'!E4:E280,"Испания-1")</f>
        <v>5</v>
      </c>
      <c r="I29" s="45">
        <f>COUNTIFS('Учёт ставок'!E4:E280,"Испания-1",'Учёт ставок'!K4:K280,"&gt;5")</f>
        <v>0</v>
      </c>
      <c r="J29" s="45">
        <f>COUNTIFS('Учёт ставок'!E4:E280,"Испания-1",'Учёт ставок'!K4:K280,"=0")</f>
        <v>5</v>
      </c>
      <c r="K29" s="51">
        <f>AVERAGEIF('Учёт ставок'!E4:E280,"Испания-1",'Учёт ставок'!H4:H280)</f>
        <v>4.4799999999999995</v>
      </c>
      <c r="L29" s="51">
        <f t="shared" si="0"/>
        <v>-13.401406685472438</v>
      </c>
      <c r="N29" s="73"/>
      <c r="O29" s="73"/>
      <c r="P29" s="73"/>
      <c r="Q29" s="73"/>
      <c r="R29" s="73"/>
      <c r="S29" s="73"/>
      <c r="T29" s="73"/>
      <c r="U29" s="73"/>
      <c r="V29" s="73"/>
    </row>
    <row r="30" spans="1:22" ht="13.5" thickBot="1">
      <c r="A30" s="13" t="s">
        <v>42</v>
      </c>
      <c r="B30" s="10">
        <f>COUNTIF('Учёт ставок'!$D$4:D280,A30)</f>
        <v>0</v>
      </c>
      <c r="G30" s="45"/>
      <c r="H30" s="45"/>
      <c r="I30" s="45"/>
      <c r="J30" s="45"/>
      <c r="K30" s="45"/>
      <c r="L30" s="45"/>
      <c r="N30" s="73"/>
      <c r="O30" s="73"/>
      <c r="P30" s="73"/>
      <c r="Q30" s="73"/>
      <c r="R30" s="73"/>
      <c r="S30" s="73"/>
      <c r="T30" s="73"/>
      <c r="U30" s="73"/>
      <c r="V30" s="73"/>
    </row>
    <row r="31" spans="1:22">
      <c r="G31" s="45"/>
      <c r="H31" s="45"/>
      <c r="I31" s="45"/>
      <c r="J31" s="45"/>
      <c r="K31" s="45"/>
      <c r="L31" s="45"/>
      <c r="N31" s="73"/>
      <c r="O31" s="73"/>
      <c r="P31" s="73"/>
      <c r="Q31" s="73"/>
      <c r="R31" s="73"/>
      <c r="S31" s="73"/>
      <c r="T31" s="73"/>
      <c r="U31" s="73"/>
      <c r="V31" s="73"/>
    </row>
    <row r="32" spans="1:22">
      <c r="L32" s="52">
        <f>SUM(L3:L31)</f>
        <v>31.081610550175199</v>
      </c>
    </row>
  </sheetData>
  <sortState ref="G3:L29">
    <sortCondition descending="1" ref="L3"/>
  </sortState>
  <mergeCells count="15">
    <mergeCell ref="N8:O8"/>
    <mergeCell ref="P8:Q8"/>
    <mergeCell ref="R8:S8"/>
    <mergeCell ref="R12:S13"/>
    <mergeCell ref="T9:U9"/>
    <mergeCell ref="T12:U13"/>
    <mergeCell ref="N18:V31"/>
    <mergeCell ref="S14:T15"/>
    <mergeCell ref="N9:O9"/>
    <mergeCell ref="P9:Q9"/>
    <mergeCell ref="R9:S9"/>
    <mergeCell ref="O12:P13"/>
    <mergeCell ref="P14:R15"/>
    <mergeCell ref="N12:N13"/>
    <mergeCell ref="Q12:Q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F1:G26"/>
  <sheetViews>
    <sheetView zoomScale="140" zoomScaleNormal="140" workbookViewId="0">
      <selection activeCell="G8" sqref="G8"/>
    </sheetView>
  </sheetViews>
  <sheetFormatPr defaultRowHeight="12.75"/>
  <cols>
    <col min="7" max="7" width="10" customWidth="1"/>
  </cols>
  <sheetData>
    <row r="1" spans="6:7">
      <c r="F1" s="46" t="s">
        <v>273</v>
      </c>
      <c r="G1" s="46" t="s">
        <v>472</v>
      </c>
    </row>
    <row r="2" spans="6:7">
      <c r="F2" s="46">
        <v>2</v>
      </c>
      <c r="G2" s="46">
        <v>5</v>
      </c>
    </row>
    <row r="3" spans="6:7">
      <c r="F3" s="46" t="s">
        <v>274</v>
      </c>
      <c r="G3" s="46" t="s">
        <v>275</v>
      </c>
    </row>
    <row r="4" spans="6:7">
      <c r="F4" s="46" t="s">
        <v>276</v>
      </c>
      <c r="G4" s="46" t="s">
        <v>277</v>
      </c>
    </row>
    <row r="5" spans="6:7">
      <c r="F5" s="46" t="s">
        <v>278</v>
      </c>
      <c r="G5" s="46" t="s">
        <v>279</v>
      </c>
    </row>
    <row r="6" spans="6:7">
      <c r="F6" s="46" t="s">
        <v>280</v>
      </c>
      <c r="G6" s="46" t="s">
        <v>281</v>
      </c>
    </row>
    <row r="7" spans="6:7">
      <c r="F7" s="46" t="s">
        <v>282</v>
      </c>
      <c r="G7" s="46" t="s">
        <v>283</v>
      </c>
    </row>
    <row r="8" spans="6:7">
      <c r="F8" s="46" t="s">
        <v>284</v>
      </c>
      <c r="G8" s="46" t="s">
        <v>285</v>
      </c>
    </row>
    <row r="9" spans="6:7">
      <c r="F9" s="46" t="s">
        <v>286</v>
      </c>
      <c r="G9" s="46" t="s">
        <v>287</v>
      </c>
    </row>
    <row r="10" spans="6:7">
      <c r="F10" s="46" t="s">
        <v>287</v>
      </c>
      <c r="G10" s="46" t="s">
        <v>286</v>
      </c>
    </row>
    <row r="11" spans="6:7">
      <c r="F11" s="46" t="s">
        <v>285</v>
      </c>
      <c r="G11" s="46" t="s">
        <v>288</v>
      </c>
    </row>
    <row r="12" spans="6:7">
      <c r="F12" s="46" t="s">
        <v>283</v>
      </c>
      <c r="G12" s="46" t="s">
        <v>284</v>
      </c>
    </row>
    <row r="13" spans="6:7">
      <c r="F13" s="46" t="s">
        <v>289</v>
      </c>
      <c r="G13" s="46" t="s">
        <v>290</v>
      </c>
    </row>
    <row r="14" spans="6:7">
      <c r="F14" s="46" t="s">
        <v>291</v>
      </c>
      <c r="G14" s="46" t="s">
        <v>292</v>
      </c>
    </row>
    <row r="15" spans="6:7">
      <c r="F15" s="46" t="s">
        <v>277</v>
      </c>
      <c r="G15" s="46" t="s">
        <v>293</v>
      </c>
    </row>
    <row r="16" spans="6:7">
      <c r="F16" s="46" t="s">
        <v>275</v>
      </c>
      <c r="G16" s="46" t="s">
        <v>294</v>
      </c>
    </row>
    <row r="17" spans="6:7">
      <c r="F17" s="46" t="s">
        <v>295</v>
      </c>
      <c r="G17" s="46" t="s">
        <v>280</v>
      </c>
    </row>
    <row r="18" spans="6:7">
      <c r="F18" s="46" t="s">
        <v>296</v>
      </c>
      <c r="G18" s="46" t="s">
        <v>297</v>
      </c>
    </row>
    <row r="19" spans="6:7">
      <c r="F19" s="46" t="s">
        <v>298</v>
      </c>
      <c r="G19" s="46" t="s">
        <v>278</v>
      </c>
    </row>
    <row r="20" spans="6:7">
      <c r="F20" s="46" t="s">
        <v>299</v>
      </c>
      <c r="G20" s="46" t="s">
        <v>300</v>
      </c>
    </row>
    <row r="21" spans="6:7">
      <c r="F21" s="46" t="s">
        <v>301</v>
      </c>
      <c r="G21" s="46" t="s">
        <v>302</v>
      </c>
    </row>
    <row r="22" spans="6:7">
      <c r="F22" s="46" t="s">
        <v>303</v>
      </c>
      <c r="G22" s="46" t="s">
        <v>304</v>
      </c>
    </row>
    <row r="23" spans="6:7">
      <c r="F23" s="46" t="s">
        <v>305</v>
      </c>
      <c r="G23" s="46" t="s">
        <v>306</v>
      </c>
    </row>
    <row r="24" spans="6:7">
      <c r="F24" s="46" t="s">
        <v>307</v>
      </c>
      <c r="G24" s="46" t="s">
        <v>308</v>
      </c>
    </row>
    <row r="25" spans="6:7">
      <c r="F25" s="46" t="s">
        <v>309</v>
      </c>
      <c r="G25" s="46" t="s">
        <v>311</v>
      </c>
    </row>
    <row r="26" spans="6:7">
      <c r="F26" s="46" t="s">
        <v>310</v>
      </c>
      <c r="G26" s="46" t="s">
        <v>312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Учёт ставок</vt:lpstr>
      <vt:lpstr>Статистика</vt:lpstr>
      <vt:lpstr>кэфы</vt:lpstr>
      <vt:lpstr>_23_мар_13</vt:lpstr>
    </vt:vector>
  </TitlesOfParts>
  <Company>Tropical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User</cp:lastModifiedBy>
  <cp:lastPrinted>2013-03-12T19:33:53Z</cp:lastPrinted>
  <dcterms:created xsi:type="dcterms:W3CDTF">2004-07-29T09:47:19Z</dcterms:created>
  <dcterms:modified xsi:type="dcterms:W3CDTF">2013-10-02T17:14:45Z</dcterms:modified>
</cp:coreProperties>
</file>